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C:\Users\SCOTT\Desktop\"/>
    </mc:Choice>
  </mc:AlternateContent>
  <bookViews>
    <workbookView xWindow="0" yWindow="0" windowWidth="20490" windowHeight="8115" xr2:uid="{00000000-000D-0000-FFFF-FFFF00000000}"/>
  </bookViews>
  <sheets>
    <sheet name="COGO" sheetId="1" r:id="rId1"/>
    <sheet name="Computation" sheetId="2" r:id="rId2"/>
  </sheets>
  <externalReferences>
    <externalReference r:id="rId3"/>
  </externalReferences>
  <definedNames>
    <definedName name="rad">Computation!$C$2</definedName>
    <definedName name="xc">Computation!$B$5</definedName>
  </definedName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E26" i="1"/>
  <c r="H26" i="1"/>
  <c r="N25" i="1"/>
  <c r="K24" i="1"/>
  <c r="B25" i="1" l="1"/>
  <c r="I12" i="1" l="1"/>
  <c r="U16" i="1" l="1"/>
  <c r="O30" i="1" l="1"/>
  <c r="O29" i="1"/>
  <c r="O27" i="1"/>
  <c r="O26" i="1"/>
  <c r="L25" i="1"/>
  <c r="C30" i="1" l="1"/>
  <c r="C29" i="1"/>
  <c r="C27" i="1"/>
  <c r="C26" i="1"/>
  <c r="P5" i="2" l="1"/>
  <c r="O5" i="2"/>
  <c r="P2" i="2"/>
  <c r="N5" i="2"/>
  <c r="M5" i="2"/>
  <c r="N2" i="2"/>
  <c r="L5" i="2"/>
  <c r="K5" i="2"/>
  <c r="L2" i="2"/>
  <c r="P7" i="2" l="1"/>
  <c r="O30" i="2"/>
  <c r="O31" i="2"/>
  <c r="P17" i="2"/>
  <c r="P30" i="2"/>
  <c r="P31" i="2"/>
  <c r="P15" i="2"/>
  <c r="P28" i="2"/>
  <c r="O16" i="2"/>
  <c r="P16" i="2"/>
  <c r="P27" i="2"/>
  <c r="P18" i="2"/>
  <c r="O7" i="2"/>
  <c r="O27" i="2"/>
  <c r="O17" i="2"/>
  <c r="O18" i="2"/>
  <c r="O19" i="2"/>
  <c r="O20" i="2"/>
  <c r="O26" i="2"/>
  <c r="O8" i="2"/>
  <c r="P20" i="2"/>
  <c r="O25" i="2"/>
  <c r="P8" i="2"/>
  <c r="P19" i="2"/>
  <c r="P25" i="2"/>
  <c r="O9" i="2"/>
  <c r="P26" i="2"/>
  <c r="P10" i="2"/>
  <c r="P11" i="2"/>
  <c r="O15" i="2"/>
  <c r="O28" i="2"/>
  <c r="P23" i="2"/>
  <c r="P24" i="2"/>
  <c r="P9" i="2"/>
  <c r="O10" i="2"/>
  <c r="O23" i="2"/>
  <c r="O11" i="2"/>
  <c r="O12" i="2"/>
  <c r="O24" i="2"/>
  <c r="P12" i="2"/>
  <c r="M13" i="2"/>
  <c r="M21" i="2"/>
  <c r="N28" i="2"/>
  <c r="M29" i="2"/>
  <c r="M28" i="2"/>
  <c r="L27" i="2"/>
  <c r="K12" i="2"/>
  <c r="L15" i="2"/>
  <c r="K16" i="2"/>
  <c r="L18" i="2"/>
  <c r="K19" i="2"/>
  <c r="L19" i="2"/>
  <c r="K20" i="2"/>
  <c r="K29" i="2"/>
  <c r="L23" i="2"/>
  <c r="L8" i="2"/>
  <c r="K28" i="2"/>
  <c r="L10" i="2"/>
  <c r="L31" i="2"/>
  <c r="K11" i="2"/>
  <c r="L11" i="2"/>
  <c r="K31" i="2"/>
  <c r="K24" i="2"/>
  <c r="L30" i="2"/>
  <c r="L26" i="2"/>
  <c r="L7" i="2"/>
  <c r="K27" i="2"/>
  <c r="K8" i="2"/>
  <c r="O13" i="2"/>
  <c r="O21" i="2"/>
  <c r="O29" i="2"/>
  <c r="P13" i="2"/>
  <c r="P21" i="2"/>
  <c r="P29" i="2"/>
  <c r="O14" i="2"/>
  <c r="O22" i="2"/>
  <c r="P14" i="2"/>
  <c r="P22" i="2"/>
  <c r="M22" i="2"/>
  <c r="N22" i="2"/>
  <c r="N23" i="2"/>
  <c r="N14" i="2"/>
  <c r="N30" i="2"/>
  <c r="M7" i="2"/>
  <c r="M15" i="2"/>
  <c r="M23" i="2"/>
  <c r="M31" i="2"/>
  <c r="N7" i="2"/>
  <c r="N15" i="2"/>
  <c r="N31" i="2"/>
  <c r="M8" i="2"/>
  <c r="M16" i="2"/>
  <c r="M24" i="2"/>
  <c r="N8" i="2"/>
  <c r="N16" i="2"/>
  <c r="N24" i="2"/>
  <c r="M9" i="2"/>
  <c r="M17" i="2"/>
  <c r="M25" i="2"/>
  <c r="N9" i="2"/>
  <c r="N17" i="2"/>
  <c r="N25" i="2"/>
  <c r="M10" i="2"/>
  <c r="M18" i="2"/>
  <c r="M26" i="2"/>
  <c r="N10" i="2"/>
  <c r="N18" i="2"/>
  <c r="N26" i="2"/>
  <c r="M11" i="2"/>
  <c r="M19" i="2"/>
  <c r="M27" i="2"/>
  <c r="N13" i="2"/>
  <c r="N21" i="2"/>
  <c r="N29" i="2"/>
  <c r="M14" i="2"/>
  <c r="M30" i="2"/>
  <c r="N11" i="2"/>
  <c r="N19" i="2"/>
  <c r="N27" i="2"/>
  <c r="M12" i="2"/>
  <c r="M20" i="2"/>
  <c r="N12" i="2"/>
  <c r="N20" i="2"/>
  <c r="L25" i="2"/>
  <c r="L16" i="2"/>
  <c r="L24" i="2"/>
  <c r="K9" i="2"/>
  <c r="K17" i="2"/>
  <c r="K25" i="2"/>
  <c r="L9" i="2"/>
  <c r="L17" i="2"/>
  <c r="K10" i="2"/>
  <c r="K18" i="2"/>
  <c r="K26" i="2"/>
  <c r="L13" i="2"/>
  <c r="L21" i="2"/>
  <c r="L29" i="2"/>
  <c r="L12" i="2"/>
  <c r="L20" i="2"/>
  <c r="L28" i="2"/>
  <c r="K13" i="2"/>
  <c r="K21" i="2"/>
  <c r="K14" i="2"/>
  <c r="K22" i="2"/>
  <c r="K30" i="2"/>
  <c r="L14" i="2"/>
  <c r="L22" i="2"/>
  <c r="K7" i="2"/>
  <c r="K15" i="2"/>
  <c r="K23" i="2"/>
  <c r="I5" i="2" l="1"/>
  <c r="H5" i="2"/>
  <c r="I3" i="2"/>
  <c r="I2" i="2"/>
  <c r="H13" i="2" l="1"/>
  <c r="H19" i="2"/>
  <c r="H15" i="2"/>
  <c r="I30" i="2"/>
  <c r="H21" i="2"/>
  <c r="I16" i="2"/>
  <c r="I18" i="2"/>
  <c r="I31" i="2"/>
  <c r="I15" i="2"/>
  <c r="I17" i="2"/>
  <c r="I19" i="2"/>
  <c r="H7" i="2"/>
  <c r="I20" i="2"/>
  <c r="I7" i="2"/>
  <c r="I8" i="2"/>
  <c r="I9" i="2"/>
  <c r="I10" i="2"/>
  <c r="I26" i="2"/>
  <c r="I11" i="2"/>
  <c r="I27" i="2"/>
  <c r="I12" i="2"/>
  <c r="I28" i="2"/>
  <c r="I21" i="2"/>
  <c r="I22" i="2"/>
  <c r="I23" i="2"/>
  <c r="I24" i="2"/>
  <c r="I25" i="2"/>
  <c r="I13" i="2"/>
  <c r="I29" i="2"/>
  <c r="I14" i="2"/>
  <c r="H25" i="2"/>
  <c r="H9" i="2"/>
  <c r="H17" i="2"/>
  <c r="H23" i="2"/>
  <c r="H30" i="2"/>
  <c r="H11" i="2"/>
  <c r="H27" i="2"/>
  <c r="H29" i="2"/>
  <c r="H8" i="2"/>
  <c r="H10" i="2"/>
  <c r="H12" i="2"/>
  <c r="H14" i="2"/>
  <c r="H16" i="2"/>
  <c r="H18" i="2"/>
  <c r="H20" i="2"/>
  <c r="H22" i="2"/>
  <c r="H24" i="2"/>
  <c r="H26" i="2"/>
  <c r="H28" i="2"/>
  <c r="H31" i="2"/>
  <c r="E5" i="2"/>
  <c r="D5" i="2"/>
  <c r="C5" i="2"/>
  <c r="B5" i="2"/>
  <c r="E2" i="2"/>
  <c r="C2" i="2"/>
  <c r="R31" i="1"/>
  <c r="R30" i="1"/>
  <c r="U29" i="1"/>
  <c r="U28" i="1"/>
  <c r="R14" i="1"/>
  <c r="L29" i="1"/>
  <c r="L28" i="1"/>
  <c r="I28" i="1"/>
  <c r="R12" i="1"/>
  <c r="R13" i="1" s="1"/>
  <c r="I27" i="1"/>
  <c r="F27" i="1"/>
  <c r="F28" i="1" s="1"/>
  <c r="R11" i="1"/>
  <c r="L26" i="1"/>
  <c r="R10" i="1"/>
  <c r="U17" i="1"/>
  <c r="O13" i="1"/>
  <c r="L13" i="1"/>
  <c r="U12" i="1"/>
  <c r="L12" i="1"/>
  <c r="O11" i="1"/>
  <c r="O12" i="1" s="1"/>
  <c r="I10" i="1"/>
  <c r="F11" i="1"/>
  <c r="F10" i="1"/>
  <c r="C9" i="1"/>
  <c r="C8" i="1"/>
  <c r="Q29" i="1" l="1"/>
  <c r="U24" i="1"/>
  <c r="G9" i="2" s="1"/>
  <c r="U23" i="1"/>
  <c r="F9" i="2" s="1"/>
  <c r="U22" i="1"/>
  <c r="U21" i="1"/>
  <c r="U26" i="1"/>
  <c r="G17" i="2" s="1"/>
  <c r="U25" i="1"/>
  <c r="F17" i="2" s="1"/>
  <c r="U20" i="1"/>
  <c r="G7" i="2" s="1"/>
  <c r="U19" i="1"/>
  <c r="F7" i="2" s="1"/>
  <c r="T27" i="1"/>
  <c r="T14" i="1"/>
  <c r="F18" i="2"/>
  <c r="G18" i="2"/>
  <c r="E10" i="2"/>
  <c r="D21" i="2"/>
  <c r="C31" i="2"/>
  <c r="B9" i="2"/>
  <c r="D14" i="2"/>
  <c r="D17" i="2"/>
  <c r="B10" i="2"/>
  <c r="B12" i="2"/>
  <c r="B14" i="2"/>
  <c r="B17" i="2"/>
  <c r="B19" i="2"/>
  <c r="B21" i="2"/>
  <c r="B24" i="2"/>
  <c r="B25" i="2"/>
  <c r="B26" i="2"/>
  <c r="B27" i="2"/>
  <c r="C15" i="2"/>
  <c r="C24" i="2"/>
  <c r="C21" i="2"/>
  <c r="C12" i="2"/>
  <c r="C13" i="2"/>
  <c r="C22" i="2"/>
  <c r="C23" i="2"/>
  <c r="C14" i="2"/>
  <c r="C16" i="2"/>
  <c r="C25" i="2"/>
  <c r="C7" i="2"/>
  <c r="C8" i="2"/>
  <c r="C18" i="2"/>
  <c r="C27" i="2"/>
  <c r="C17" i="2"/>
  <c r="C26" i="2"/>
  <c r="C9" i="2"/>
  <c r="C28" i="2"/>
  <c r="C19" i="2"/>
  <c r="C29" i="2"/>
  <c r="C10" i="2"/>
  <c r="C20" i="2"/>
  <c r="C30" i="2"/>
  <c r="C11" i="2"/>
  <c r="B11" i="2"/>
  <c r="B18" i="2"/>
  <c r="B13" i="2"/>
  <c r="B20" i="2"/>
  <c r="B28" i="2"/>
  <c r="B29" i="2"/>
  <c r="B7" i="2"/>
  <c r="B15" i="2"/>
  <c r="B22" i="2"/>
  <c r="B30" i="2"/>
  <c r="B8" i="2"/>
  <c r="B16" i="2"/>
  <c r="B23" i="2"/>
  <c r="B31" i="2"/>
  <c r="D11" i="2"/>
  <c r="D25" i="2"/>
  <c r="D8" i="2"/>
  <c r="E31" i="2"/>
  <c r="D26" i="2"/>
  <c r="E28" i="2"/>
  <c r="D29" i="2"/>
  <c r="E17" i="2"/>
  <c r="E22" i="2"/>
  <c r="E9" i="2"/>
  <c r="E27" i="2"/>
  <c r="T15" i="1"/>
  <c r="E14" i="2"/>
  <c r="E18" i="2"/>
  <c r="E23" i="2"/>
  <c r="E15" i="2"/>
  <c r="E11" i="2"/>
  <c r="E29" i="2"/>
  <c r="E7" i="2"/>
  <c r="E20" i="2"/>
  <c r="E24" i="2"/>
  <c r="E25" i="2"/>
  <c r="E12" i="2"/>
  <c r="E30" i="2"/>
  <c r="E8" i="2"/>
  <c r="E16" i="2"/>
  <c r="E21" i="2"/>
  <c r="E19" i="2"/>
  <c r="E13" i="2"/>
  <c r="E26" i="2"/>
  <c r="D7" i="2"/>
  <c r="D19" i="2"/>
  <c r="D23" i="2"/>
  <c r="D27" i="2"/>
  <c r="D31" i="2"/>
  <c r="D10" i="2"/>
  <c r="D13" i="2"/>
  <c r="D15" i="2"/>
  <c r="D16" i="2"/>
  <c r="D20" i="2"/>
  <c r="D24" i="2"/>
  <c r="D28" i="2"/>
  <c r="D9" i="2"/>
  <c r="D12" i="2"/>
  <c r="D18" i="2"/>
  <c r="D22" i="2"/>
  <c r="D30" i="2"/>
  <c r="U38" i="1" l="1"/>
  <c r="G13" i="2" s="1"/>
  <c r="U37" i="1"/>
  <c r="F13" i="2" s="1"/>
  <c r="U33" i="1"/>
  <c r="F15" i="2" s="1"/>
  <c r="U32" i="1"/>
  <c r="G12" i="2" s="1"/>
  <c r="U36" i="1"/>
  <c r="G14" i="2" s="1"/>
  <c r="U35" i="1"/>
  <c r="F14" i="2" s="1"/>
  <c r="U31" i="1"/>
  <c r="F12" i="2" s="1"/>
  <c r="U34" i="1"/>
  <c r="G15" i="2" s="1"/>
  <c r="F10" i="2"/>
  <c r="G10" i="2"/>
  <c r="F8" i="2"/>
  <c r="F19" i="2"/>
  <c r="G8" i="2"/>
  <c r="G19" i="2"/>
</calcChain>
</file>

<file path=xl/sharedStrings.xml><?xml version="1.0" encoding="utf-8"?>
<sst xmlns="http://schemas.openxmlformats.org/spreadsheetml/2006/main" count="203" uniqueCount="106">
  <si>
    <t>Y1</t>
  </si>
  <si>
    <t>X1</t>
  </si>
  <si>
    <t>X2</t>
  </si>
  <si>
    <t>Y2</t>
  </si>
  <si>
    <t>X0</t>
  </si>
  <si>
    <t>Y0</t>
  </si>
  <si>
    <t>INTERSECTION TWO LINES</t>
  </si>
  <si>
    <t>X3</t>
  </si>
  <si>
    <t>Y3</t>
  </si>
  <si>
    <t>X4</t>
  </si>
  <si>
    <t>Y4</t>
  </si>
  <si>
    <t>R</t>
  </si>
  <si>
    <t>INTERSECTION LINE AND CIRCLE</t>
  </si>
  <si>
    <t>X0A</t>
  </si>
  <si>
    <t>Y0A</t>
  </si>
  <si>
    <t>X0B</t>
  </si>
  <si>
    <t>Y0B</t>
  </si>
  <si>
    <t>XC</t>
  </si>
  <si>
    <t>YC</t>
  </si>
  <si>
    <t>R1</t>
  </si>
  <si>
    <t>R2</t>
  </si>
  <si>
    <t>XC1</t>
  </si>
  <si>
    <t>XC2</t>
  </si>
  <si>
    <t>YC2</t>
  </si>
  <si>
    <t>CIRCLE CENTERS AND RADII</t>
  </si>
  <si>
    <t>EXTERNAL TANGENTS</t>
  </si>
  <si>
    <t>INTERNAL TANGENTS</t>
  </si>
  <si>
    <t>XPE</t>
  </si>
  <si>
    <t>YPE</t>
  </si>
  <si>
    <t>XPI</t>
  </si>
  <si>
    <t>YPI</t>
  </si>
  <si>
    <t>MIDPOINT OF A LINE</t>
  </si>
  <si>
    <t>INTERSECTIONS OF TWO CIRCLES</t>
  </si>
  <si>
    <t>YC1</t>
  </si>
  <si>
    <t>TANGENT POINTS ON A CIRCLE</t>
  </si>
  <si>
    <t>FROM INTERSECTION POINT,</t>
  </si>
  <si>
    <t>CIRCLE CENTER, AND RADIUS</t>
  </si>
  <si>
    <t>EXTERNAL INTERSECTION POINT</t>
  </si>
  <si>
    <t xml:space="preserve">FROM CIRCLE CENTER AND </t>
  </si>
  <si>
    <t>OPPOSING TANGENT POINTS</t>
  </si>
  <si>
    <t>OF TANGENTS FROM TWO</t>
  </si>
  <si>
    <t>OFFSET</t>
  </si>
  <si>
    <t>STATION</t>
  </si>
  <si>
    <t>STATION AND OFFSET OF A POINT</t>
  </si>
  <si>
    <t>TANGENT POINTS OF TWO CIRCLES</t>
  </si>
  <si>
    <t>CENTER POINT AND RADIUS</t>
  </si>
  <si>
    <t>OF CIRCLE FROM THREE POINTS</t>
  </si>
  <si>
    <t>PLANE DISTANCE</t>
  </si>
  <si>
    <t>PLANE ANGLE (DD)</t>
  </si>
  <si>
    <t>PLANE ANGLE (DMS)</t>
  </si>
  <si>
    <t>SEMI MINOR RADIUS</t>
  </si>
  <si>
    <t>SEMI MAJOR RADIUS</t>
  </si>
  <si>
    <t>CENTER OFFSET IN X</t>
  </si>
  <si>
    <t>CENTER OFFSET IN Y</t>
  </si>
  <si>
    <r>
      <t>CIRCLE ANGLE (</t>
    </r>
    <r>
      <rPr>
        <b/>
        <sz val="11"/>
        <color theme="1"/>
        <rFont val="Calibri"/>
        <family val="2"/>
      </rPr>
      <t>θ)</t>
    </r>
  </si>
  <si>
    <t>ELLIPSE TILT (DD)</t>
  </si>
  <si>
    <r>
      <t>DIVIDING LINE BY RATIO (</t>
    </r>
    <r>
      <rPr>
        <b/>
        <i/>
        <sz val="11"/>
        <color theme="1"/>
        <rFont val="Calibri"/>
        <family val="2"/>
        <scheme val="minor"/>
      </rPr>
      <t xml:space="preserve">P </t>
    </r>
    <r>
      <rPr>
        <b/>
        <sz val="11"/>
        <color theme="1"/>
        <rFont val="Calibri"/>
        <family val="2"/>
        <scheme val="minor"/>
      </rPr>
      <t xml:space="preserve">: </t>
    </r>
    <r>
      <rPr>
        <b/>
        <i/>
        <sz val="11"/>
        <color theme="1"/>
        <rFont val="Calibri"/>
        <family val="2"/>
        <scheme val="minor"/>
      </rPr>
      <t>Q</t>
    </r>
    <r>
      <rPr>
        <b/>
        <sz val="11"/>
        <color theme="1"/>
        <rFont val="Calibri"/>
        <family val="2"/>
        <scheme val="minor"/>
      </rPr>
      <t>)</t>
    </r>
  </si>
  <si>
    <t>P</t>
  </si>
  <si>
    <t>Q</t>
  </si>
  <si>
    <t>INTERSECTION OF THREE CIRCLES</t>
  </si>
  <si>
    <t>R3</t>
  </si>
  <si>
    <t>(TRILATERATION)</t>
  </si>
  <si>
    <t>COMPUTING ELLIPTIC COORDINATES</t>
  </si>
  <si>
    <t>Y=( x2-x3 )[ ( x2²-x1² )+( y2²-y1² )+( r1²-r2² ) ] - ( x1-x2 ) [ ( x3²-x2² ) + ( y3²-y2² )+( r2²-r3² ) ] Whole Divided by</t>
  </si>
  <si>
    <t>2 [ (y1-y2)(x2-x3)-(y2-y3)(x1-x2) ]</t>
  </si>
  <si>
    <t>X=( y2-y3 )[ ( y2²-y1² )+( x2²-x1² )+( r1²-r2² ) ] - ( y1-y2 ) [ ( y3²-y2² ) + ( x3²-x2² )+( r2²-r3² ) ] Whole Divided by</t>
  </si>
  <si>
    <t>2 [ (x1-x2)(y2-y3)-(x2-x3)(y1-y2) ]</t>
  </si>
  <si>
    <t>X1A</t>
  </si>
  <si>
    <t>Y1A</t>
  </si>
  <si>
    <t>X2A</t>
  </si>
  <si>
    <t>Y2A</t>
  </si>
  <si>
    <t>X1B</t>
  </si>
  <si>
    <t>Y1B</t>
  </si>
  <si>
    <t>X2B</t>
  </si>
  <si>
    <t>Y2B</t>
  </si>
  <si>
    <t>X3A</t>
  </si>
  <si>
    <t>Y3A</t>
  </si>
  <si>
    <t>X4A</t>
  </si>
  <si>
    <t>Y4A</t>
  </si>
  <si>
    <t>X3B</t>
  </si>
  <si>
    <t>Y3B</t>
  </si>
  <si>
    <t>X4B</t>
  </si>
  <si>
    <t>Y4B</t>
  </si>
  <si>
    <t>D AB</t>
  </si>
  <si>
    <t>XCA</t>
  </si>
  <si>
    <t>YCA</t>
  </si>
  <si>
    <t>RA</t>
  </si>
  <si>
    <t>XCB</t>
  </si>
  <si>
    <t>YCB</t>
  </si>
  <si>
    <t>RB</t>
  </si>
  <si>
    <t xml:space="preserve"> </t>
  </si>
  <si>
    <t xml:space="preserve">PRECISION </t>
  </si>
  <si>
    <t>rad</t>
  </si>
  <si>
    <t>xc</t>
  </si>
  <si>
    <t>yc</t>
  </si>
  <si>
    <t>angle</t>
  </si>
  <si>
    <t>x</t>
  </si>
  <si>
    <t>y</t>
  </si>
  <si>
    <t>RAD A</t>
  </si>
  <si>
    <t>TANGENTS ON TWO CIRCLES</t>
  </si>
  <si>
    <t>ELLIPSE</t>
  </si>
  <si>
    <t>Let (x1,y1),(x2,y2) and (x3,y3) be the centres of three circles.</t>
  </si>
  <si>
    <t>Assuming point of intersection(x,y) exists.</t>
  </si>
  <si>
    <t>RAD B</t>
  </si>
  <si>
    <t>INTERNAL INTERSECTION POINT</t>
  </si>
  <si>
    <t>DIRECTION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</si>
</sst>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000000"/>
    <numFmt numFmtId="165" formatCode="0\°\ 00\'\ 00.00\&quot;"/>
    <numFmt numFmtId="166" formatCode="0.000"/>
    <numFmt numFmtId="167" formatCode="#0\ \+\ 00.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name val="Tahoma"/>
      <family val="2"/>
    </font>
    <font>
      <b/>
      <sz val="11"/>
      <color theme="0"/>
      <name val="Calibri"/>
      <family val="2"/>
      <scheme val="minor"/>
    </font>
    <font>
      <sz val="10"/>
      <name val="Verdana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99"/>
      </patternFill>
    </fill>
    <fill>
      <patternFill patternType="solid">
        <fgColor indexed="5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</borders>
  <cellStyleXfs count="4">
    <xf numFmtId="0" fontId="0" fillId="0" borderId="0"/>
    <xf numFmtId="0" fontId="5" fillId="5" borderId="1" applyNumberFormat="0" applyAlignment="0" applyProtection="0"/>
    <xf numFmtId="0" fontId="6" fillId="6" borderId="2">
      <alignment horizontal="center" vertical="center" wrapText="1"/>
    </xf>
    <xf numFmtId="0" fontId="8" fillId="0" borderId="0"/>
  </cellStyleXfs>
  <cellXfs count="73">
    <xf numFmtId="0" fontId="0" fillId="0" borderId="0" xfId="0"/>
    <xf numFmtId="0" fontId="1" fillId="0" borderId="0" xfId="0" applyFont="1"/>
    <xf numFmtId="0" fontId="0" fillId="0" borderId="0" xfId="0" applyFill="1"/>
    <xf numFmtId="0" fontId="1" fillId="0" borderId="0" xfId="0" applyFont="1" applyFill="1"/>
    <xf numFmtId="0" fontId="0" fillId="0" borderId="0" xfId="0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11" fontId="1" fillId="0" borderId="0" xfId="0" applyNumberFormat="1" applyFont="1" applyFill="1" applyBorder="1" applyAlignment="1">
      <alignment horizontal="left"/>
    </xf>
    <xf numFmtId="166" fontId="1" fillId="0" borderId="0" xfId="0" applyNumberFormat="1" applyFont="1" applyFill="1" applyAlignment="1">
      <alignment horizontal="left"/>
    </xf>
    <xf numFmtId="166" fontId="0" fillId="0" borderId="0" xfId="0" applyNumberFormat="1" applyAlignment="1">
      <alignment horizontal="left"/>
    </xf>
    <xf numFmtId="166" fontId="1" fillId="0" borderId="0" xfId="0" applyNumberFormat="1" applyFont="1" applyFill="1" applyAlignment="1">
      <alignment horizontal="right"/>
    </xf>
    <xf numFmtId="0" fontId="1" fillId="0" borderId="0" xfId="0" applyFont="1" applyFill="1" applyBorder="1" applyAlignment="1">
      <alignment horizontal="right"/>
    </xf>
    <xf numFmtId="166" fontId="1" fillId="0" borderId="0" xfId="0" applyNumberFormat="1" applyFont="1" applyFill="1" applyBorder="1" applyAlignment="1">
      <alignment horizontal="left"/>
    </xf>
    <xf numFmtId="166" fontId="1" fillId="3" borderId="0" xfId="0" applyNumberFormat="1" applyFont="1" applyFill="1" applyBorder="1" applyAlignment="1">
      <alignment horizontal="right"/>
    </xf>
    <xf numFmtId="166" fontId="1" fillId="0" borderId="0" xfId="0" applyNumberFormat="1" applyFont="1" applyFill="1" applyBorder="1" applyAlignment="1">
      <alignment horizontal="right"/>
    </xf>
    <xf numFmtId="166" fontId="1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Border="1" applyAlignment="1"/>
    <xf numFmtId="165" fontId="3" fillId="3" borderId="0" xfId="0" applyNumberFormat="1" applyFont="1" applyFill="1" applyBorder="1" applyAlignment="1" applyProtection="1">
      <alignment horizontal="right"/>
    </xf>
    <xf numFmtId="166" fontId="4" fillId="0" borderId="0" xfId="0" applyNumberFormat="1" applyFont="1" applyFill="1" applyAlignment="1">
      <alignment horizontal="left"/>
    </xf>
    <xf numFmtId="166" fontId="1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/>
    </xf>
    <xf numFmtId="166" fontId="2" fillId="0" borderId="0" xfId="0" applyNumberFormat="1" applyFont="1" applyFill="1" applyAlignment="1">
      <alignment horizontal="left"/>
    </xf>
    <xf numFmtId="0" fontId="0" fillId="0" borderId="0" xfId="0" applyAlignment="1">
      <alignment horizontal="right"/>
    </xf>
    <xf numFmtId="166" fontId="1" fillId="3" borderId="0" xfId="0" applyNumberFormat="1" applyFont="1" applyFill="1" applyAlignment="1">
      <alignment horizontal="right"/>
    </xf>
    <xf numFmtId="166" fontId="0" fillId="0" borderId="0" xfId="0" applyNumberFormat="1" applyAlignment="1">
      <alignment horizontal="right"/>
    </xf>
    <xf numFmtId="0" fontId="1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2" fillId="0" borderId="0" xfId="0" applyFont="1" applyFill="1" applyBorder="1" applyAlignment="1">
      <alignment horizontal="left"/>
    </xf>
    <xf numFmtId="166" fontId="1" fillId="0" borderId="0" xfId="0" applyNumberFormat="1" applyFont="1" applyBorder="1" applyAlignment="1">
      <alignment horizontal="right"/>
    </xf>
    <xf numFmtId="166" fontId="1" fillId="0" borderId="0" xfId="0" applyNumberFormat="1" applyFont="1" applyAlignment="1">
      <alignment horizontal="right"/>
    </xf>
    <xf numFmtId="166" fontId="0" fillId="0" borderId="0" xfId="0" applyNumberFormat="1" applyFill="1" applyAlignment="1">
      <alignment horizontal="right"/>
    </xf>
    <xf numFmtId="0" fontId="1" fillId="4" borderId="0" xfId="0" applyFont="1" applyFill="1" applyAlignment="1">
      <alignment horizontal="left"/>
    </xf>
    <xf numFmtId="0" fontId="0" fillId="4" borderId="0" xfId="0" applyFill="1" applyAlignment="1">
      <alignment horizontal="right"/>
    </xf>
    <xf numFmtId="0" fontId="1" fillId="4" borderId="0" xfId="0" applyFont="1" applyFill="1" applyAlignment="1">
      <alignment horizontal="right"/>
    </xf>
    <xf numFmtId="166" fontId="1" fillId="4" borderId="0" xfId="0" applyNumberFormat="1" applyFont="1" applyFill="1" applyAlignment="1">
      <alignment horizontal="left"/>
    </xf>
    <xf numFmtId="166" fontId="1" fillId="4" borderId="0" xfId="0" applyNumberFormat="1" applyFont="1" applyFill="1" applyAlignment="1">
      <alignment horizontal="right"/>
    </xf>
    <xf numFmtId="166" fontId="1" fillId="4" borderId="0" xfId="0" applyNumberFormat="1" applyFont="1" applyFill="1" applyBorder="1" applyAlignment="1">
      <alignment horizontal="left"/>
    </xf>
    <xf numFmtId="166" fontId="1" fillId="4" borderId="0" xfId="0" applyNumberFormat="1" applyFont="1" applyFill="1" applyBorder="1" applyAlignment="1">
      <alignment horizontal="right"/>
    </xf>
    <xf numFmtId="0" fontId="1" fillId="4" borderId="0" xfId="0" applyFont="1" applyFill="1"/>
    <xf numFmtId="0" fontId="1" fillId="4" borderId="0" xfId="0" applyFont="1" applyFill="1" applyBorder="1" applyAlignment="1">
      <alignment horizontal="left"/>
    </xf>
    <xf numFmtId="0" fontId="0" fillId="0" borderId="0" xfId="0" applyAlignment="1">
      <alignment vertical="top"/>
    </xf>
    <xf numFmtId="0" fontId="6" fillId="6" borderId="2" xfId="2" applyAlignment="1">
      <alignment horizontal="right" vertical="center" wrapText="1"/>
    </xf>
    <xf numFmtId="166" fontId="0" fillId="5" borderId="1" xfId="1" applyNumberFormat="1" applyFont="1" applyAlignment="1" applyProtection="1">
      <alignment vertical="top"/>
      <protection locked="0"/>
    </xf>
    <xf numFmtId="0" fontId="6" fillId="6" borderId="2" xfId="2">
      <alignment horizontal="center" vertical="center" wrapText="1"/>
    </xf>
    <xf numFmtId="0" fontId="0" fillId="5" borderId="1" xfId="1" applyFont="1" applyAlignment="1" applyProtection="1">
      <alignment vertical="top"/>
      <protection locked="0"/>
    </xf>
    <xf numFmtId="1" fontId="1" fillId="0" borderId="0" xfId="0" applyNumberFormat="1" applyFont="1" applyFill="1" applyAlignment="1">
      <alignment horizontal="right"/>
    </xf>
    <xf numFmtId="0" fontId="1" fillId="7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10" borderId="0" xfId="0" applyFont="1" applyFill="1" applyBorder="1" applyAlignment="1">
      <alignment horizontal="left"/>
    </xf>
    <xf numFmtId="0" fontId="1" fillId="8" borderId="0" xfId="0" applyFont="1" applyFill="1" applyBorder="1" applyAlignment="1">
      <alignment horizontal="left"/>
    </xf>
    <xf numFmtId="0" fontId="1" fillId="9" borderId="0" xfId="0" applyFont="1" applyFill="1" applyBorder="1" applyAlignment="1">
      <alignment horizontal="left"/>
    </xf>
    <xf numFmtId="167" fontId="1" fillId="3" borderId="0" xfId="0" applyNumberFormat="1" applyFont="1" applyFill="1" applyAlignment="1">
      <alignment horizontal="right"/>
    </xf>
    <xf numFmtId="0" fontId="1" fillId="4" borderId="0" xfId="0" applyFont="1" applyFill="1" applyBorder="1" applyAlignment="1">
      <alignment horizontal="right"/>
    </xf>
    <xf numFmtId="0" fontId="1" fillId="3" borderId="0" xfId="0" applyFont="1" applyFill="1" applyBorder="1" applyAlignment="1">
      <alignment horizontal="right"/>
    </xf>
    <xf numFmtId="0" fontId="1" fillId="3" borderId="0" xfId="0" applyFont="1" applyFill="1" applyAlignment="1">
      <alignment horizontal="right"/>
    </xf>
    <xf numFmtId="0" fontId="9" fillId="11" borderId="0" xfId="0" applyFont="1" applyFill="1" applyAlignment="1">
      <alignment horizontal="right"/>
    </xf>
    <xf numFmtId="0" fontId="7" fillId="11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66" fontId="9" fillId="11" borderId="3" xfId="0" applyNumberFormat="1" applyFont="1" applyFill="1" applyBorder="1" applyAlignment="1">
      <alignment horizontal="center"/>
    </xf>
    <xf numFmtId="166" fontId="9" fillId="11" borderId="4" xfId="0" applyNumberFormat="1" applyFont="1" applyFill="1" applyBorder="1" applyAlignment="1">
      <alignment horizontal="center"/>
    </xf>
    <xf numFmtId="166" fontId="11" fillId="0" borderId="0" xfId="0" applyNumberFormat="1" applyFont="1" applyFill="1" applyAlignment="1">
      <alignment horizontal="left"/>
    </xf>
    <xf numFmtId="166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right"/>
    </xf>
    <xf numFmtId="0" fontId="9" fillId="11" borderId="3" xfId="0" applyFont="1" applyFill="1" applyBorder="1" applyAlignment="1">
      <alignment horizontal="center"/>
    </xf>
    <xf numFmtId="0" fontId="7" fillId="11" borderId="3" xfId="0" applyFont="1" applyFill="1" applyBorder="1" applyAlignment="1">
      <alignment horizontal="center"/>
    </xf>
  </cellXfs>
  <cellStyles count="4">
    <cellStyle name="Input" xfId="1" builtinId="20"/>
    <cellStyle name="Label" xfId="2" xr:uid="{00000000-0005-0000-0000-000001000000}"/>
    <cellStyle name="Normal" xfId="0" builtinId="0"/>
    <cellStyle name="Normal 2" xfId="3" xr:uid="{00000000-0005-0000-0000-000003000000}"/>
  </cellStyles>
  <dxfs count="7">
    <dxf>
      <font>
        <strike/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0000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Tangents On Two Circles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5772414526826932E-2"/>
          <c:y val="6.9273484709760122E-2"/>
          <c:w val="0.93008277769750014"/>
          <c:h val="0.88647942989684425"/>
        </c:manualLayout>
      </c:layout>
      <c:scatterChart>
        <c:scatterStyle val="smoothMarker"/>
        <c:varyColors val="0"/>
        <c:ser>
          <c:idx val="0"/>
          <c:order val="0"/>
          <c:tx>
            <c:v>Circle A</c:v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numRef>
              <c:f>Computation!$B$7:$B$31</c:f>
              <c:numCache>
                <c:formatCode>0.000</c:formatCode>
                <c:ptCount val="25"/>
                <c:pt idx="0">
                  <c:v>8300</c:v>
                </c:pt>
                <c:pt idx="1">
                  <c:v>8289.777747886721</c:v>
                </c:pt>
                <c:pt idx="2">
                  <c:v>8259.8076211353309</c:v>
                </c:pt>
                <c:pt idx="3">
                  <c:v>8212.1320343559637</c:v>
                </c:pt>
                <c:pt idx="4">
                  <c:v>8150</c:v>
                </c:pt>
                <c:pt idx="5">
                  <c:v>8077.6457135307564</c:v>
                </c:pt>
                <c:pt idx="6">
                  <c:v>8000</c:v>
                </c:pt>
                <c:pt idx="7">
                  <c:v>7922.3542864692436</c:v>
                </c:pt>
                <c:pt idx="8">
                  <c:v>7850</c:v>
                </c:pt>
                <c:pt idx="9">
                  <c:v>7787.8679656440354</c:v>
                </c:pt>
                <c:pt idx="10">
                  <c:v>7740.1923788646682</c:v>
                </c:pt>
                <c:pt idx="11">
                  <c:v>7710.2222521132799</c:v>
                </c:pt>
                <c:pt idx="12">
                  <c:v>7700</c:v>
                </c:pt>
                <c:pt idx="13">
                  <c:v>7710.2222521132799</c:v>
                </c:pt>
                <c:pt idx="14">
                  <c:v>7740.1923788646682</c:v>
                </c:pt>
                <c:pt idx="15">
                  <c:v>7787.8679656440354</c:v>
                </c:pt>
                <c:pt idx="16">
                  <c:v>7850</c:v>
                </c:pt>
                <c:pt idx="17">
                  <c:v>7922.3542864692436</c:v>
                </c:pt>
                <c:pt idx="18">
                  <c:v>8000</c:v>
                </c:pt>
                <c:pt idx="19">
                  <c:v>8077.6457135307564</c:v>
                </c:pt>
                <c:pt idx="20">
                  <c:v>8150</c:v>
                </c:pt>
                <c:pt idx="21">
                  <c:v>8212.1320343559637</c:v>
                </c:pt>
                <c:pt idx="22">
                  <c:v>8259.8076211353309</c:v>
                </c:pt>
                <c:pt idx="23">
                  <c:v>8289.777747886721</c:v>
                </c:pt>
                <c:pt idx="24">
                  <c:v>8300</c:v>
                </c:pt>
              </c:numCache>
            </c:numRef>
          </c:xVal>
          <c:yVal>
            <c:numRef>
              <c:f>Computation!$C$7:$C$31</c:f>
              <c:numCache>
                <c:formatCode>0.000</c:formatCode>
                <c:ptCount val="25"/>
                <c:pt idx="0">
                  <c:v>2000</c:v>
                </c:pt>
                <c:pt idx="1">
                  <c:v>2077.6457135307564</c:v>
                </c:pt>
                <c:pt idx="2">
                  <c:v>2150</c:v>
                </c:pt>
                <c:pt idx="3">
                  <c:v>2212.1320343559642</c:v>
                </c:pt>
                <c:pt idx="4">
                  <c:v>2259.8076211353318</c:v>
                </c:pt>
                <c:pt idx="5">
                  <c:v>2289.7777478867206</c:v>
                </c:pt>
                <c:pt idx="6">
                  <c:v>2300</c:v>
                </c:pt>
                <c:pt idx="7">
                  <c:v>2289.7777478867206</c:v>
                </c:pt>
                <c:pt idx="8">
                  <c:v>2259.8076211353318</c:v>
                </c:pt>
                <c:pt idx="9">
                  <c:v>2212.1320343559642</c:v>
                </c:pt>
                <c:pt idx="10">
                  <c:v>2150</c:v>
                </c:pt>
                <c:pt idx="11">
                  <c:v>2077.6457135307564</c:v>
                </c:pt>
                <c:pt idx="12">
                  <c:v>2000</c:v>
                </c:pt>
                <c:pt idx="13">
                  <c:v>1922.3542864692438</c:v>
                </c:pt>
                <c:pt idx="14">
                  <c:v>1850</c:v>
                </c:pt>
                <c:pt idx="15">
                  <c:v>1787.8679656440358</c:v>
                </c:pt>
                <c:pt idx="16">
                  <c:v>1740.1923788646686</c:v>
                </c:pt>
                <c:pt idx="17">
                  <c:v>1710.2222521132794</c:v>
                </c:pt>
                <c:pt idx="18">
                  <c:v>1700</c:v>
                </c:pt>
                <c:pt idx="19">
                  <c:v>1710.2222521132794</c:v>
                </c:pt>
                <c:pt idx="20">
                  <c:v>1740.1923788646684</c:v>
                </c:pt>
                <c:pt idx="21">
                  <c:v>1787.8679656440356</c:v>
                </c:pt>
                <c:pt idx="22">
                  <c:v>1849.9999999999998</c:v>
                </c:pt>
                <c:pt idx="23">
                  <c:v>1922.3542864692438</c:v>
                </c:pt>
                <c:pt idx="24">
                  <c:v>2000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013-4FDB-815E-373B31B86B21}"/>
            </c:ext>
          </c:extLst>
        </c:ser>
        <c:ser>
          <c:idx val="3"/>
          <c:order val="1"/>
          <c:tx>
            <c:v>Circle B</c:v>
          </c:tx>
          <c:spPr>
            <a:ln w="22225" cap="rnd">
              <a:solidFill>
                <a:schemeClr val="accent4"/>
              </a:solidFill>
            </a:ln>
            <a:effectLst>
              <a:glow rad="139700">
                <a:schemeClr val="accent4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numRef>
              <c:f>Computation!$D$7:$D$31</c:f>
              <c:numCache>
                <c:formatCode>0.000</c:formatCode>
                <c:ptCount val="25"/>
                <c:pt idx="0">
                  <c:v>8594.2135954999994</c:v>
                </c:pt>
                <c:pt idx="1">
                  <c:v>8589.2046919644927</c:v>
                </c:pt>
                <c:pt idx="2">
                  <c:v>8574.5193298563117</c:v>
                </c:pt>
                <c:pt idx="3">
                  <c:v>8551.1582923344213</c:v>
                </c:pt>
                <c:pt idx="4">
                  <c:v>8520.7135954999994</c:v>
                </c:pt>
                <c:pt idx="5">
                  <c:v>8485.2599951300708</c:v>
                </c:pt>
                <c:pt idx="6">
                  <c:v>8447.2135954999994</c:v>
                </c:pt>
                <c:pt idx="7">
                  <c:v>8409.167195869928</c:v>
                </c:pt>
                <c:pt idx="8">
                  <c:v>8373.7135954999994</c:v>
                </c:pt>
                <c:pt idx="9">
                  <c:v>8343.2688986655776</c:v>
                </c:pt>
                <c:pt idx="10">
                  <c:v>8319.9078611436871</c:v>
                </c:pt>
                <c:pt idx="11">
                  <c:v>8305.2224990355062</c:v>
                </c:pt>
                <c:pt idx="12">
                  <c:v>8300.2135954999994</c:v>
                </c:pt>
                <c:pt idx="13">
                  <c:v>8305.2224990355062</c:v>
                </c:pt>
                <c:pt idx="14">
                  <c:v>8319.9078611436871</c:v>
                </c:pt>
                <c:pt idx="15">
                  <c:v>8343.2688986655776</c:v>
                </c:pt>
                <c:pt idx="16">
                  <c:v>8373.7135954999994</c:v>
                </c:pt>
                <c:pt idx="17">
                  <c:v>8409.167195869928</c:v>
                </c:pt>
                <c:pt idx="18">
                  <c:v>8447.2135954999994</c:v>
                </c:pt>
                <c:pt idx="19">
                  <c:v>8485.259995130069</c:v>
                </c:pt>
                <c:pt idx="20">
                  <c:v>8520.7135954999994</c:v>
                </c:pt>
                <c:pt idx="21">
                  <c:v>8551.1582923344213</c:v>
                </c:pt>
                <c:pt idx="22">
                  <c:v>8574.5193298563117</c:v>
                </c:pt>
                <c:pt idx="23">
                  <c:v>8589.2046919644927</c:v>
                </c:pt>
                <c:pt idx="24">
                  <c:v>8594.2135954999994</c:v>
                </c:pt>
              </c:numCache>
            </c:numRef>
          </c:xVal>
          <c:yVal>
            <c:numRef>
              <c:f>Computation!$E$7:$E$31</c:f>
              <c:numCache>
                <c:formatCode>0.000</c:formatCode>
                <c:ptCount val="25"/>
                <c:pt idx="0">
                  <c:v>2000</c:v>
                </c:pt>
                <c:pt idx="1">
                  <c:v>2038.0463996300705</c:v>
                </c:pt>
                <c:pt idx="2">
                  <c:v>2073.5</c:v>
                </c:pt>
                <c:pt idx="3">
                  <c:v>2103.9446968344223</c:v>
                </c:pt>
                <c:pt idx="4">
                  <c:v>2127.3057343563123</c:v>
                </c:pt>
                <c:pt idx="5">
                  <c:v>2141.9910964644932</c:v>
                </c:pt>
                <c:pt idx="6">
                  <c:v>2147</c:v>
                </c:pt>
                <c:pt idx="7">
                  <c:v>2141.9910964644932</c:v>
                </c:pt>
                <c:pt idx="8">
                  <c:v>2127.3057343563123</c:v>
                </c:pt>
                <c:pt idx="9">
                  <c:v>2103.9446968344223</c:v>
                </c:pt>
                <c:pt idx="10">
                  <c:v>2073.5</c:v>
                </c:pt>
                <c:pt idx="11">
                  <c:v>2038.0463996300705</c:v>
                </c:pt>
                <c:pt idx="12">
                  <c:v>2000</c:v>
                </c:pt>
                <c:pt idx="13">
                  <c:v>1961.9536003699295</c:v>
                </c:pt>
                <c:pt idx="14">
                  <c:v>1926.5</c:v>
                </c:pt>
                <c:pt idx="15">
                  <c:v>1896.0553031655775</c:v>
                </c:pt>
                <c:pt idx="16">
                  <c:v>1872.6942656436875</c:v>
                </c:pt>
                <c:pt idx="17">
                  <c:v>1858.008903535507</c:v>
                </c:pt>
                <c:pt idx="18">
                  <c:v>1853</c:v>
                </c:pt>
                <c:pt idx="19">
                  <c:v>1858.008903535507</c:v>
                </c:pt>
                <c:pt idx="20">
                  <c:v>1872.6942656436875</c:v>
                </c:pt>
                <c:pt idx="21">
                  <c:v>1896.0553031655775</c:v>
                </c:pt>
                <c:pt idx="22">
                  <c:v>1926.5</c:v>
                </c:pt>
                <c:pt idx="23">
                  <c:v>1961.9536003699295</c:v>
                </c:pt>
                <c:pt idx="24">
                  <c:v>2000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013-4FDB-815E-373B31B86B21}"/>
            </c:ext>
          </c:extLst>
        </c:ser>
        <c:ser>
          <c:idx val="1"/>
          <c:order val="2"/>
          <c:tx>
            <c:v>tangent 1</c:v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Computation!$F$7:$F$8</c:f>
              <c:numCache>
                <c:formatCode>General</c:formatCode>
                <c:ptCount val="2"/>
                <c:pt idx="0">
                  <c:v>8102.6360000000004</c:v>
                </c:pt>
                <c:pt idx="1">
                  <c:v>8497.5049999999992</c:v>
                </c:pt>
              </c:numCache>
            </c:numRef>
          </c:xVal>
          <c:yVal>
            <c:numRef>
              <c:f>Computation!$G$7:$G$8</c:f>
              <c:numCache>
                <c:formatCode>General</c:formatCode>
                <c:ptCount val="2"/>
                <c:pt idx="0">
                  <c:v>2281.8969999999999</c:v>
                </c:pt>
                <c:pt idx="1">
                  <c:v>2138.13</c:v>
                </c:pt>
              </c:numCache>
            </c:numRef>
          </c:y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4-D013-4FDB-815E-373B31B86B21}"/>
            </c:ext>
          </c:extLst>
        </c:ser>
        <c:ser>
          <c:idx val="2"/>
          <c:order val="3"/>
          <c:tx>
            <c:v>tangent 2</c:v>
          </c:tx>
          <c:spPr>
            <a:ln w="22225" cap="rnd">
              <a:solidFill>
                <a:schemeClr val="accent3"/>
              </a:solidFill>
            </a:ln>
            <a:effectLst>
              <a:glow rad="139700">
                <a:schemeClr val="accent3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Computation!$F$9:$F$10</c:f>
              <c:numCache>
                <c:formatCode>General</c:formatCode>
                <c:ptCount val="2"/>
                <c:pt idx="0">
                  <c:v>8102.6360000000004</c:v>
                </c:pt>
                <c:pt idx="1">
                  <c:v>8497.5049999999992</c:v>
                </c:pt>
              </c:numCache>
            </c:numRef>
          </c:xVal>
          <c:yVal>
            <c:numRef>
              <c:f>Computation!$G$9:$G$10</c:f>
              <c:numCache>
                <c:formatCode>General</c:formatCode>
                <c:ptCount val="2"/>
                <c:pt idx="0">
                  <c:v>1718.1030000000001</c:v>
                </c:pt>
                <c:pt idx="1">
                  <c:v>1861.87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C21-4021-880D-8E3FCFCD4CA7}"/>
            </c:ext>
          </c:extLst>
        </c:ser>
        <c:ser>
          <c:idx val="4"/>
          <c:order val="4"/>
          <c:tx>
            <c:v>tangent 3</c:v>
          </c:tx>
          <c:spPr>
            <a:ln w="22225" cap="rnd">
              <a:solidFill>
                <a:schemeClr val="accent5"/>
              </a:solidFill>
            </a:ln>
            <a:effectLst>
              <a:glow rad="139700">
                <a:schemeClr val="accent5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Computation!$F$12:$F$13</c:f>
              <c:numCache>
                <c:formatCode>General</c:formatCode>
                <c:ptCount val="2"/>
                <c:pt idx="0">
                  <c:v>8299.857</c:v>
                </c:pt>
                <c:pt idx="1">
                  <c:v>8300.2839999999997</c:v>
                </c:pt>
              </c:numCache>
            </c:numRef>
          </c:xVal>
          <c:yVal>
            <c:numRef>
              <c:f>Computation!$G$12:$G$13</c:f>
              <c:numCache>
                <c:formatCode>General</c:formatCode>
                <c:ptCount val="2"/>
                <c:pt idx="0">
                  <c:v>1990.74</c:v>
                </c:pt>
                <c:pt idx="1">
                  <c:v>2004.5540000000001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C21-4021-880D-8E3FCFCD4CA7}"/>
            </c:ext>
          </c:extLst>
        </c:ser>
        <c:ser>
          <c:idx val="5"/>
          <c:order val="5"/>
          <c:tx>
            <c:v>tangent 4</c:v>
          </c:tx>
          <c:spPr>
            <a:ln w="22225" cap="rnd">
              <a:solidFill>
                <a:schemeClr val="accent6"/>
              </a:solidFill>
            </a:ln>
            <a:effectLst>
              <a:glow rad="139700">
                <a:schemeClr val="accent6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Computation!$F$14:$F$15</c:f>
              <c:numCache>
                <c:formatCode>General</c:formatCode>
                <c:ptCount val="2"/>
                <c:pt idx="0">
                  <c:v>8299.857</c:v>
                </c:pt>
                <c:pt idx="1">
                  <c:v>8300.2839999999997</c:v>
                </c:pt>
              </c:numCache>
            </c:numRef>
          </c:xVal>
          <c:yVal>
            <c:numRef>
              <c:f>Computation!$G$14:$G$15</c:f>
              <c:numCache>
                <c:formatCode>General</c:formatCode>
                <c:ptCount val="2"/>
                <c:pt idx="0">
                  <c:v>2009.26</c:v>
                </c:pt>
                <c:pt idx="1">
                  <c:v>1995.4459999999999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C21-4021-880D-8E3FCFCD4CA7}"/>
            </c:ext>
          </c:extLst>
        </c:ser>
        <c:ser>
          <c:idx val="6"/>
          <c:order val="6"/>
          <c:tx>
            <c:v>external point 1</c:v>
          </c:tx>
          <c:spPr>
            <a:ln w="22225" cap="rnd">
              <a:solidFill>
                <a:schemeClr val="accent1">
                  <a:lumMod val="60000"/>
                </a:schemeClr>
              </a:solidFill>
            </a:ln>
            <a:effectLst>
              <a:glow rad="139700">
                <a:schemeClr val="accent1">
                  <a:lumMod val="60000"/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numRef>
              <c:f>Computation!$F$17:$F$18</c:f>
              <c:numCache>
                <c:formatCode>General</c:formatCode>
                <c:ptCount val="2"/>
                <c:pt idx="0">
                  <c:v>8497.5049999999992</c:v>
                </c:pt>
                <c:pt idx="1">
                  <c:v>8876.8889999999992</c:v>
                </c:pt>
              </c:numCache>
            </c:numRef>
          </c:xVal>
          <c:yVal>
            <c:numRef>
              <c:f>Computation!$G$17:$G$18</c:f>
              <c:numCache>
                <c:formatCode>General</c:formatCode>
                <c:ptCount val="2"/>
                <c:pt idx="0">
                  <c:v>1861.87</c:v>
                </c:pt>
                <c:pt idx="1">
                  <c:v>2000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2D7-4F72-B625-DAEB0015923A}"/>
            </c:ext>
          </c:extLst>
        </c:ser>
        <c:ser>
          <c:idx val="7"/>
          <c:order val="7"/>
          <c:tx>
            <c:v>external point 2</c:v>
          </c:tx>
          <c:spPr>
            <a:ln w="22225" cap="rnd">
              <a:solidFill>
                <a:schemeClr val="accent2">
                  <a:lumMod val="60000"/>
                </a:schemeClr>
              </a:solidFill>
            </a:ln>
            <a:effectLst>
              <a:glow rad="139700">
                <a:schemeClr val="accent2">
                  <a:lumMod val="60000"/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dLbl>
              <c:idx val="0"/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D7-4F72-B625-DAEB001592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Computation!$F$18:$F$19</c:f>
              <c:numCache>
                <c:formatCode>General</c:formatCode>
                <c:ptCount val="2"/>
                <c:pt idx="0">
                  <c:v>8876.8889999999992</c:v>
                </c:pt>
                <c:pt idx="1">
                  <c:v>8497.5049999999992</c:v>
                </c:pt>
              </c:numCache>
            </c:numRef>
          </c:xVal>
          <c:yVal>
            <c:numRef>
              <c:f>Computation!$G$18:$G$19</c:f>
              <c:numCache>
                <c:formatCode>General</c:formatCode>
                <c:ptCount val="2"/>
                <c:pt idx="0">
                  <c:v>2000</c:v>
                </c:pt>
                <c:pt idx="1">
                  <c:v>2138.13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2D7-4F72-B625-DAEB00159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1360"/>
        <c:axId val="1"/>
        <c:extLst/>
      </c:scatterChart>
      <c:valAx>
        <c:axId val="211261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2613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9999956719201724E-2"/>
          <c:y val="6.2189922480620156E-2"/>
          <c:w val="0.89999996290217288"/>
          <c:h val="6.37114692058841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Computing Coordinates on an Ellipse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5772414526826932E-2"/>
          <c:y val="6.9273484709760122E-2"/>
          <c:w val="0.93008277769750014"/>
          <c:h val="0.88647942989684425"/>
        </c:manualLayout>
      </c:layout>
      <c:scatterChart>
        <c:scatterStyle val="smoothMarker"/>
        <c:varyColors val="0"/>
        <c:ser>
          <c:idx val="0"/>
          <c:order val="0"/>
          <c:tx>
            <c:v>ELLIPSE 1</c:v>
          </c:tx>
          <c:spPr>
            <a:ln w="22225" cap="rnd">
              <a:solidFill>
                <a:srgbClr val="FF0000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numRef>
              <c:f>Computation!$H$7:$H$31</c:f>
              <c:numCache>
                <c:formatCode>0.000</c:formatCode>
                <c:ptCount val="25"/>
                <c:pt idx="0">
                  <c:v>353.95299999999997</c:v>
                </c:pt>
                <c:pt idx="1">
                  <c:v>347.13816525781363</c:v>
                </c:pt>
                <c:pt idx="2">
                  <c:v>327.15808075688778</c:v>
                </c:pt>
                <c:pt idx="3">
                  <c:v>295.37435623730948</c:v>
                </c:pt>
                <c:pt idx="4">
                  <c:v>253.95300000000003</c:v>
                </c:pt>
                <c:pt idx="5">
                  <c:v>205.71680902050414</c:v>
                </c:pt>
                <c:pt idx="6">
                  <c:v>153.953</c:v>
                </c:pt>
                <c:pt idx="7">
                  <c:v>102.18919097949583</c:v>
                </c:pt>
                <c:pt idx="8">
                  <c:v>53.953000000000046</c:v>
                </c:pt>
                <c:pt idx="9">
                  <c:v>12.531643762690521</c:v>
                </c:pt>
                <c:pt idx="10">
                  <c:v>-19.25208075688775</c:v>
                </c:pt>
                <c:pt idx="11">
                  <c:v>-39.232165257813648</c:v>
                </c:pt>
                <c:pt idx="12">
                  <c:v>-46.046999999999997</c:v>
                </c:pt>
                <c:pt idx="13">
                  <c:v>-39.232165257813648</c:v>
                </c:pt>
                <c:pt idx="14">
                  <c:v>-19.252080756887722</c:v>
                </c:pt>
                <c:pt idx="15">
                  <c:v>12.531643762690464</c:v>
                </c:pt>
                <c:pt idx="16">
                  <c:v>53.952999999999918</c:v>
                </c:pt>
                <c:pt idx="17">
                  <c:v>102.18919097949588</c:v>
                </c:pt>
                <c:pt idx="18">
                  <c:v>153.95299999999997</c:v>
                </c:pt>
                <c:pt idx="19">
                  <c:v>205.71680902050406</c:v>
                </c:pt>
                <c:pt idx="20">
                  <c:v>253.95300000000003</c:v>
                </c:pt>
                <c:pt idx="21">
                  <c:v>295.37435623730948</c:v>
                </c:pt>
                <c:pt idx="22">
                  <c:v>327.15808075688767</c:v>
                </c:pt>
                <c:pt idx="23">
                  <c:v>347.13816525781363</c:v>
                </c:pt>
                <c:pt idx="24">
                  <c:v>353.95299999999997</c:v>
                </c:pt>
              </c:numCache>
            </c:numRef>
          </c:xVal>
          <c:yVal>
            <c:numRef>
              <c:f>Computation!$I$7:$I$31</c:f>
              <c:numCache>
                <c:formatCode>0.000</c:formatCode>
                <c:ptCount val="25"/>
                <c:pt idx="0">
                  <c:v>0</c:v>
                </c:pt>
                <c:pt idx="1">
                  <c:v>25.881904510252074</c:v>
                </c:pt>
                <c:pt idx="2">
                  <c:v>49.999999999999993</c:v>
                </c:pt>
                <c:pt idx="3">
                  <c:v>70.710678118654741</c:v>
                </c:pt>
                <c:pt idx="4">
                  <c:v>86.602540378443862</c:v>
                </c:pt>
                <c:pt idx="5">
                  <c:v>96.592582628906825</c:v>
                </c:pt>
                <c:pt idx="6">
                  <c:v>100</c:v>
                </c:pt>
                <c:pt idx="7">
                  <c:v>96.592582628906825</c:v>
                </c:pt>
                <c:pt idx="8">
                  <c:v>86.602540378443877</c:v>
                </c:pt>
                <c:pt idx="9">
                  <c:v>70.710678118654755</c:v>
                </c:pt>
                <c:pt idx="10">
                  <c:v>49.999999999999993</c:v>
                </c:pt>
                <c:pt idx="11">
                  <c:v>25.881904510252102</c:v>
                </c:pt>
                <c:pt idx="12">
                  <c:v>1.22514845490862E-14</c:v>
                </c:pt>
                <c:pt idx="13">
                  <c:v>-25.881904510252081</c:v>
                </c:pt>
                <c:pt idx="14">
                  <c:v>-50.000000000000014</c:v>
                </c:pt>
                <c:pt idx="15">
                  <c:v>-70.710678118654741</c:v>
                </c:pt>
                <c:pt idx="16">
                  <c:v>-86.602540378443834</c:v>
                </c:pt>
                <c:pt idx="17">
                  <c:v>-96.592582628906825</c:v>
                </c:pt>
                <c:pt idx="18">
                  <c:v>-100</c:v>
                </c:pt>
                <c:pt idx="19">
                  <c:v>-96.59258262890684</c:v>
                </c:pt>
                <c:pt idx="20">
                  <c:v>-86.602540378443862</c:v>
                </c:pt>
                <c:pt idx="21">
                  <c:v>-70.710678118654769</c:v>
                </c:pt>
                <c:pt idx="22">
                  <c:v>-50.000000000000043</c:v>
                </c:pt>
                <c:pt idx="23">
                  <c:v>-25.881904510252067</c:v>
                </c:pt>
                <c:pt idx="24">
                  <c:v>-2.45029690981724E-14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013-4FDB-815E-373B31B86B21}"/>
            </c:ext>
          </c:extLst>
        </c:ser>
        <c:ser>
          <c:idx val="1"/>
          <c:order val="1"/>
          <c:tx>
            <c:v>tangent 1</c:v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dLbl>
              <c:idx val="1"/>
              <c:layout>
                <c:manualLayout>
                  <c:x val="-4.7114240409007165E-3"/>
                  <c:y val="-4.263565891472871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57-436B-92AD-1AB4BE8801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(COGO!$R$5,COGO!$R$10)</c:f>
              <c:numCache>
                <c:formatCode>0.000</c:formatCode>
                <c:ptCount val="2"/>
                <c:pt idx="0" formatCode="General">
                  <c:v>153.953</c:v>
                </c:pt>
                <c:pt idx="1">
                  <c:v>295.37435623730948</c:v>
                </c:pt>
              </c:numCache>
            </c:numRef>
          </c:xVal>
          <c:yVal>
            <c:numRef>
              <c:f>(COGO!$R$6,COGO!$R$11)</c:f>
              <c:numCache>
                <c:formatCode>0.000</c:formatCode>
                <c:ptCount val="2"/>
                <c:pt idx="0" formatCode="General">
                  <c:v>0</c:v>
                </c:pt>
                <c:pt idx="1">
                  <c:v>70.710678118654741</c:v>
                </c:pt>
              </c:numCache>
            </c:numRef>
          </c:y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4-D013-4FDB-815E-373B31B86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1360"/>
        <c:axId val="1"/>
        <c:extLst/>
      </c:scatterChart>
      <c:valAx>
        <c:axId val="211261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2613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9999956719201724E-2"/>
          <c:y val="6.2189922480620156E-2"/>
          <c:w val="0.89999996290217288"/>
          <c:h val="6.37114692058841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Intersection of Three</a:t>
            </a:r>
            <a:r>
              <a:rPr lang="en-US" baseline="0"/>
              <a:t> Circles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5772414526826932E-2"/>
          <c:y val="6.9273484709760122E-2"/>
          <c:w val="0.93008277769750014"/>
          <c:h val="0.88647942989684425"/>
        </c:manualLayout>
      </c:layout>
      <c:scatterChart>
        <c:scatterStyle val="smoothMarker"/>
        <c:varyColors val="0"/>
        <c:ser>
          <c:idx val="0"/>
          <c:order val="0"/>
          <c:tx>
            <c:v>circle 1</c:v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numRef>
              <c:f>Computation!$K$7:$K$31</c:f>
              <c:numCache>
                <c:formatCode>0.000</c:formatCode>
                <c:ptCount val="25"/>
                <c:pt idx="0">
                  <c:v>15</c:v>
                </c:pt>
                <c:pt idx="1">
                  <c:v>14.829629131445341</c:v>
                </c:pt>
                <c:pt idx="2">
                  <c:v>14.330127018922195</c:v>
                </c:pt>
                <c:pt idx="3">
                  <c:v>13.535533905932738</c:v>
                </c:pt>
                <c:pt idx="4">
                  <c:v>12.5</c:v>
                </c:pt>
                <c:pt idx="5">
                  <c:v>11.294095225512603</c:v>
                </c:pt>
                <c:pt idx="6">
                  <c:v>10</c:v>
                </c:pt>
                <c:pt idx="7">
                  <c:v>8.7059047744873954</c:v>
                </c:pt>
                <c:pt idx="8">
                  <c:v>7.5000000000000009</c:v>
                </c:pt>
                <c:pt idx="9">
                  <c:v>6.4644660940672622</c:v>
                </c:pt>
                <c:pt idx="10">
                  <c:v>5.6698729810778064</c:v>
                </c:pt>
                <c:pt idx="11">
                  <c:v>5.1703708685546594</c:v>
                </c:pt>
                <c:pt idx="12">
                  <c:v>5</c:v>
                </c:pt>
                <c:pt idx="13">
                  <c:v>5.1703708685546585</c:v>
                </c:pt>
                <c:pt idx="14">
                  <c:v>5.6698729810778072</c:v>
                </c:pt>
                <c:pt idx="15">
                  <c:v>6.4644660940672614</c:v>
                </c:pt>
                <c:pt idx="16">
                  <c:v>7.4999999999999982</c:v>
                </c:pt>
                <c:pt idx="17">
                  <c:v>8.7059047744873972</c:v>
                </c:pt>
                <c:pt idx="18">
                  <c:v>9.9999999999999982</c:v>
                </c:pt>
                <c:pt idx="19">
                  <c:v>11.294095225512601</c:v>
                </c:pt>
                <c:pt idx="20">
                  <c:v>12.5</c:v>
                </c:pt>
                <c:pt idx="21">
                  <c:v>13.535533905932738</c:v>
                </c:pt>
                <c:pt idx="22">
                  <c:v>14.330127018922191</c:v>
                </c:pt>
                <c:pt idx="23">
                  <c:v>14.829629131445341</c:v>
                </c:pt>
                <c:pt idx="24">
                  <c:v>15</c:v>
                </c:pt>
              </c:numCache>
            </c:numRef>
          </c:xVal>
          <c:yVal>
            <c:numRef>
              <c:f>Computation!$L$7:$L$31</c:f>
              <c:numCache>
                <c:formatCode>0.000</c:formatCode>
                <c:ptCount val="25"/>
                <c:pt idx="0">
                  <c:v>10</c:v>
                </c:pt>
                <c:pt idx="1">
                  <c:v>11.294095225512603</c:v>
                </c:pt>
                <c:pt idx="2">
                  <c:v>12.5</c:v>
                </c:pt>
                <c:pt idx="3">
                  <c:v>13.535533905932738</c:v>
                </c:pt>
                <c:pt idx="4">
                  <c:v>14.330127018922193</c:v>
                </c:pt>
                <c:pt idx="5">
                  <c:v>14.829629131445341</c:v>
                </c:pt>
                <c:pt idx="6">
                  <c:v>15</c:v>
                </c:pt>
                <c:pt idx="7">
                  <c:v>14.829629131445341</c:v>
                </c:pt>
                <c:pt idx="8">
                  <c:v>14.330127018922195</c:v>
                </c:pt>
                <c:pt idx="9">
                  <c:v>13.535533905932738</c:v>
                </c:pt>
                <c:pt idx="10">
                  <c:v>12.5</c:v>
                </c:pt>
                <c:pt idx="11">
                  <c:v>11.294095225512605</c:v>
                </c:pt>
                <c:pt idx="12">
                  <c:v>10</c:v>
                </c:pt>
                <c:pt idx="13">
                  <c:v>8.7059047744873954</c:v>
                </c:pt>
                <c:pt idx="14">
                  <c:v>7.5</c:v>
                </c:pt>
                <c:pt idx="15">
                  <c:v>6.4644660940672622</c:v>
                </c:pt>
                <c:pt idx="16">
                  <c:v>5.6698729810778081</c:v>
                </c:pt>
                <c:pt idx="17">
                  <c:v>5.1703708685546585</c:v>
                </c:pt>
                <c:pt idx="18">
                  <c:v>5</c:v>
                </c:pt>
                <c:pt idx="19">
                  <c:v>5.1703708685546577</c:v>
                </c:pt>
                <c:pt idx="20">
                  <c:v>5.6698729810778072</c:v>
                </c:pt>
                <c:pt idx="21">
                  <c:v>6.4644660940672614</c:v>
                </c:pt>
                <c:pt idx="22">
                  <c:v>7.4999999999999982</c:v>
                </c:pt>
                <c:pt idx="23">
                  <c:v>8.7059047744873972</c:v>
                </c:pt>
                <c:pt idx="24">
                  <c:v>9.9999999999999982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7A9-422B-A9BD-151A5F6A658A}"/>
            </c:ext>
          </c:extLst>
        </c:ser>
        <c:ser>
          <c:idx val="1"/>
          <c:order val="1"/>
          <c:tx>
            <c:v>Circle 2</c:v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numRef>
              <c:f>Computation!$M$7:$M$31</c:f>
              <c:numCache>
                <c:formatCode>0.000</c:formatCode>
                <c:ptCount val="25"/>
                <c:pt idx="0">
                  <c:v>17</c:v>
                </c:pt>
                <c:pt idx="1">
                  <c:v>16.931851652578136</c:v>
                </c:pt>
                <c:pt idx="2">
                  <c:v>16.732050807568879</c:v>
                </c:pt>
                <c:pt idx="3">
                  <c:v>16.414213562373096</c:v>
                </c:pt>
                <c:pt idx="4">
                  <c:v>16</c:v>
                </c:pt>
                <c:pt idx="5">
                  <c:v>15.517638090205041</c:v>
                </c:pt>
                <c:pt idx="6">
                  <c:v>15</c:v>
                </c:pt>
                <c:pt idx="7">
                  <c:v>14.482361909794959</c:v>
                </c:pt>
                <c:pt idx="8">
                  <c:v>14</c:v>
                </c:pt>
                <c:pt idx="9">
                  <c:v>13.585786437626904</c:v>
                </c:pt>
                <c:pt idx="10">
                  <c:v>13.267949192431123</c:v>
                </c:pt>
                <c:pt idx="11">
                  <c:v>13.068148347421864</c:v>
                </c:pt>
                <c:pt idx="12">
                  <c:v>13</c:v>
                </c:pt>
                <c:pt idx="13">
                  <c:v>13.068148347421863</c:v>
                </c:pt>
                <c:pt idx="14">
                  <c:v>13.267949192431123</c:v>
                </c:pt>
                <c:pt idx="15">
                  <c:v>13.585786437626904</c:v>
                </c:pt>
                <c:pt idx="16">
                  <c:v>14</c:v>
                </c:pt>
                <c:pt idx="17">
                  <c:v>14.482361909794959</c:v>
                </c:pt>
                <c:pt idx="18">
                  <c:v>15</c:v>
                </c:pt>
                <c:pt idx="19">
                  <c:v>15.51763809020504</c:v>
                </c:pt>
                <c:pt idx="20">
                  <c:v>16</c:v>
                </c:pt>
                <c:pt idx="21">
                  <c:v>16.414213562373096</c:v>
                </c:pt>
                <c:pt idx="22">
                  <c:v>16.732050807568875</c:v>
                </c:pt>
                <c:pt idx="23">
                  <c:v>16.931851652578136</c:v>
                </c:pt>
                <c:pt idx="24">
                  <c:v>17</c:v>
                </c:pt>
              </c:numCache>
            </c:numRef>
          </c:xVal>
          <c:yVal>
            <c:numRef>
              <c:f>Computation!$N$7:$N$31</c:f>
              <c:numCache>
                <c:formatCode>0.000</c:formatCode>
                <c:ptCount val="25"/>
                <c:pt idx="0">
                  <c:v>12</c:v>
                </c:pt>
                <c:pt idx="1">
                  <c:v>12.517638090205041</c:v>
                </c:pt>
                <c:pt idx="2">
                  <c:v>13</c:v>
                </c:pt>
                <c:pt idx="3">
                  <c:v>13.414213562373096</c:v>
                </c:pt>
                <c:pt idx="4">
                  <c:v>13.732050807568877</c:v>
                </c:pt>
                <c:pt idx="5">
                  <c:v>13.931851652578137</c:v>
                </c:pt>
                <c:pt idx="6">
                  <c:v>14</c:v>
                </c:pt>
                <c:pt idx="7">
                  <c:v>13.931851652578137</c:v>
                </c:pt>
                <c:pt idx="8">
                  <c:v>13.732050807568877</c:v>
                </c:pt>
                <c:pt idx="9">
                  <c:v>13.414213562373096</c:v>
                </c:pt>
                <c:pt idx="10">
                  <c:v>13</c:v>
                </c:pt>
                <c:pt idx="11">
                  <c:v>12.517638090205041</c:v>
                </c:pt>
                <c:pt idx="12">
                  <c:v>12</c:v>
                </c:pt>
                <c:pt idx="13">
                  <c:v>11.482361909794959</c:v>
                </c:pt>
                <c:pt idx="14">
                  <c:v>11</c:v>
                </c:pt>
                <c:pt idx="15">
                  <c:v>10.585786437626904</c:v>
                </c:pt>
                <c:pt idx="16">
                  <c:v>10.267949192431123</c:v>
                </c:pt>
                <c:pt idx="17">
                  <c:v>10.068148347421863</c:v>
                </c:pt>
                <c:pt idx="18">
                  <c:v>10</c:v>
                </c:pt>
                <c:pt idx="19">
                  <c:v>10.068148347421863</c:v>
                </c:pt>
                <c:pt idx="20">
                  <c:v>10.267949192431123</c:v>
                </c:pt>
                <c:pt idx="21">
                  <c:v>10.585786437626904</c:v>
                </c:pt>
                <c:pt idx="22">
                  <c:v>11</c:v>
                </c:pt>
                <c:pt idx="23">
                  <c:v>11.482361909794959</c:v>
                </c:pt>
                <c:pt idx="24">
                  <c:v>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7A9-422B-A9BD-151A5F6A658A}"/>
            </c:ext>
          </c:extLst>
        </c:ser>
        <c:ser>
          <c:idx val="2"/>
          <c:order val="2"/>
          <c:tx>
            <c:v>Circle 3</c:v>
          </c:tx>
          <c:spPr>
            <a:ln w="22225" cap="rnd">
              <a:solidFill>
                <a:schemeClr val="accent3"/>
              </a:solidFill>
            </a:ln>
            <a:effectLst>
              <a:glow rad="139700">
                <a:schemeClr val="accent3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numRef>
              <c:f>Computation!$O$7:$O$31</c:f>
              <c:numCache>
                <c:formatCode>0.000</c:formatCode>
                <c:ptCount val="25"/>
                <c:pt idx="0">
                  <c:v>20</c:v>
                </c:pt>
                <c:pt idx="1">
                  <c:v>19.829629131445341</c:v>
                </c:pt>
                <c:pt idx="2">
                  <c:v>19.330127018922195</c:v>
                </c:pt>
                <c:pt idx="3">
                  <c:v>18.535533905932738</c:v>
                </c:pt>
                <c:pt idx="4">
                  <c:v>17.5</c:v>
                </c:pt>
                <c:pt idx="5">
                  <c:v>16.294095225512603</c:v>
                </c:pt>
                <c:pt idx="6">
                  <c:v>15</c:v>
                </c:pt>
                <c:pt idx="7">
                  <c:v>13.705904774487395</c:v>
                </c:pt>
                <c:pt idx="8">
                  <c:v>12.5</c:v>
                </c:pt>
                <c:pt idx="9">
                  <c:v>11.464466094067262</c:v>
                </c:pt>
                <c:pt idx="10">
                  <c:v>10.669872981077805</c:v>
                </c:pt>
                <c:pt idx="11">
                  <c:v>10.170370868554659</c:v>
                </c:pt>
                <c:pt idx="12">
                  <c:v>10</c:v>
                </c:pt>
                <c:pt idx="13">
                  <c:v>10.170370868554659</c:v>
                </c:pt>
                <c:pt idx="14">
                  <c:v>10.669872981077807</c:v>
                </c:pt>
                <c:pt idx="15">
                  <c:v>11.464466094067262</c:v>
                </c:pt>
                <c:pt idx="16">
                  <c:v>12.499999999999998</c:v>
                </c:pt>
                <c:pt idx="17">
                  <c:v>13.705904774487397</c:v>
                </c:pt>
                <c:pt idx="18">
                  <c:v>14.999999999999998</c:v>
                </c:pt>
                <c:pt idx="19">
                  <c:v>16.294095225512603</c:v>
                </c:pt>
                <c:pt idx="20">
                  <c:v>17.5</c:v>
                </c:pt>
                <c:pt idx="21">
                  <c:v>18.535533905932738</c:v>
                </c:pt>
                <c:pt idx="22">
                  <c:v>19.330127018922191</c:v>
                </c:pt>
                <c:pt idx="23">
                  <c:v>19.829629131445341</c:v>
                </c:pt>
                <c:pt idx="24">
                  <c:v>20</c:v>
                </c:pt>
              </c:numCache>
            </c:numRef>
          </c:xVal>
          <c:yVal>
            <c:numRef>
              <c:f>Computation!$P$7:$P$31</c:f>
              <c:numCache>
                <c:formatCode>0.000</c:formatCode>
                <c:ptCount val="25"/>
                <c:pt idx="0">
                  <c:v>5</c:v>
                </c:pt>
                <c:pt idx="1">
                  <c:v>6.2940952255126037</c:v>
                </c:pt>
                <c:pt idx="2">
                  <c:v>7.5</c:v>
                </c:pt>
                <c:pt idx="3">
                  <c:v>8.5355339059327378</c:v>
                </c:pt>
                <c:pt idx="4">
                  <c:v>9.3301270189221928</c:v>
                </c:pt>
                <c:pt idx="5">
                  <c:v>9.8296291314453406</c:v>
                </c:pt>
                <c:pt idx="6">
                  <c:v>10</c:v>
                </c:pt>
                <c:pt idx="7">
                  <c:v>9.8296291314453406</c:v>
                </c:pt>
                <c:pt idx="8">
                  <c:v>9.3301270189221945</c:v>
                </c:pt>
                <c:pt idx="9">
                  <c:v>8.5355339059327378</c:v>
                </c:pt>
                <c:pt idx="10">
                  <c:v>7.5</c:v>
                </c:pt>
                <c:pt idx="11">
                  <c:v>6.2940952255126046</c:v>
                </c:pt>
                <c:pt idx="12">
                  <c:v>5.0000000000000009</c:v>
                </c:pt>
                <c:pt idx="13">
                  <c:v>3.7059047744873963</c:v>
                </c:pt>
                <c:pt idx="14">
                  <c:v>2.4999999999999996</c:v>
                </c:pt>
                <c:pt idx="15">
                  <c:v>1.4644660940672627</c:v>
                </c:pt>
                <c:pt idx="16">
                  <c:v>0.66987298107780813</c:v>
                </c:pt>
                <c:pt idx="17">
                  <c:v>0.17037086855465855</c:v>
                </c:pt>
                <c:pt idx="18">
                  <c:v>0</c:v>
                </c:pt>
                <c:pt idx="19">
                  <c:v>0.17037086855465766</c:v>
                </c:pt>
                <c:pt idx="20">
                  <c:v>0.66987298107780724</c:v>
                </c:pt>
                <c:pt idx="21">
                  <c:v>1.4644660940672614</c:v>
                </c:pt>
                <c:pt idx="22">
                  <c:v>2.4999999999999978</c:v>
                </c:pt>
                <c:pt idx="23">
                  <c:v>3.7059047744873963</c:v>
                </c:pt>
                <c:pt idx="24">
                  <c:v>4.9999999999999991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7A9-422B-A9BD-151A5F6A6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1360"/>
        <c:axId val="1"/>
        <c:extLst/>
      </c:scatterChart>
      <c:valAx>
        <c:axId val="211261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2613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9999956719201724E-2"/>
          <c:y val="6.2189922480620156E-2"/>
          <c:w val="0.28618228363588877"/>
          <c:h val="3.2703717267899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</xdr:colOff>
      <xdr:row>1</xdr:row>
      <xdr:rowOff>19050</xdr:rowOff>
    </xdr:from>
    <xdr:to>
      <xdr:col>34</xdr:col>
      <xdr:colOff>400050</xdr:colOff>
      <xdr:row>35</xdr:row>
      <xdr:rowOff>57150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590548</xdr:colOff>
      <xdr:row>0</xdr:row>
      <xdr:rowOff>180975</xdr:rowOff>
    </xdr:from>
    <xdr:to>
      <xdr:col>48</xdr:col>
      <xdr:colOff>142875</xdr:colOff>
      <xdr:row>35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9525</xdr:colOff>
      <xdr:row>36</xdr:row>
      <xdr:rowOff>28575</xdr:rowOff>
    </xdr:from>
    <xdr:to>
      <xdr:col>34</xdr:col>
      <xdr:colOff>409577</xdr:colOff>
      <xdr:row>70</xdr:row>
      <xdr:rowOff>104775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zelenak/Desktop/3-31-15%20EDIT%20SSZ%20ZENITH%20TRAVER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 ERROR"/>
      <sheetName val="DISTANCE-ANGLE"/>
      <sheetName val="TRIG LEVEL"/>
      <sheetName val="ELONGATION"/>
      <sheetName val="EDM MATRIX"/>
      <sheetName val="NGS FORMULA"/>
      <sheetName val="Notes"/>
      <sheetName val="Data Corrections"/>
      <sheetName val="SD to HD"/>
      <sheetName val="4 pillars"/>
      <sheetName val="5 pillars"/>
      <sheetName val="6 pillars"/>
      <sheetName val="7 pillars"/>
      <sheetName val="8 pillars"/>
      <sheetName val="Cyclic Calcs"/>
      <sheetName val="GEOMETRIC"/>
      <sheetName val="ZEN TRAV"/>
      <sheetName val="SHAF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V85"/>
  <sheetViews>
    <sheetView tabSelected="1" zoomScale="85" zoomScaleNormal="85" workbookViewId="0">
      <selection activeCell="K14" sqref="K14"/>
    </sheetView>
  </sheetViews>
  <sheetFormatPr defaultRowHeight="15" x14ac:dyDescent="0.25"/>
  <cols>
    <col min="1" max="1" width="1.7109375" style="4" customWidth="1"/>
    <col min="2" max="2" width="14.7109375" style="4" customWidth="1"/>
    <col min="3" max="3" width="12.42578125" style="27" customWidth="1"/>
    <col min="4" max="4" width="1.7109375" style="4" customWidth="1"/>
    <col min="5" max="5" width="14.7109375" style="4" customWidth="1"/>
    <col min="6" max="6" width="13.42578125" style="27" customWidth="1"/>
    <col min="7" max="7" width="1.7109375" style="4" customWidth="1"/>
    <col min="8" max="8" width="14.7109375" style="4" customWidth="1"/>
    <col min="9" max="9" width="14.85546875" style="27" customWidth="1"/>
    <col min="10" max="10" width="1.7109375" style="4" customWidth="1"/>
    <col min="11" max="11" width="14.7109375" style="4" customWidth="1"/>
    <col min="12" max="12" width="14.140625" style="27" customWidth="1"/>
    <col min="13" max="13" width="1.7109375" style="4" customWidth="1"/>
    <col min="14" max="14" width="14.7109375" style="4" customWidth="1"/>
    <col min="15" max="15" width="13.7109375" style="27" customWidth="1"/>
    <col min="16" max="16" width="1.7109375" style="4" customWidth="1"/>
    <col min="17" max="17" width="18.85546875" style="4" customWidth="1"/>
    <col min="18" max="18" width="13.140625" style="27" customWidth="1"/>
    <col min="19" max="19" width="1.7109375" style="4" customWidth="1"/>
    <col min="20" max="20" width="15.85546875" customWidth="1"/>
    <col min="21" max="21" width="15.28515625" style="29" customWidth="1"/>
    <col min="22" max="22" width="1.7109375" customWidth="1"/>
    <col min="23" max="23" width="14.7109375" customWidth="1"/>
  </cols>
  <sheetData>
    <row r="2" spans="1:22" ht="15" customHeight="1" x14ac:dyDescent="0.25">
      <c r="B2" s="41" t="s">
        <v>31</v>
      </c>
      <c r="C2" s="42"/>
      <c r="D2" s="12"/>
      <c r="E2" s="39" t="s">
        <v>56</v>
      </c>
      <c r="F2" s="40"/>
      <c r="G2" s="12"/>
      <c r="H2" s="39" t="s">
        <v>43</v>
      </c>
      <c r="I2" s="40"/>
      <c r="J2" s="12"/>
      <c r="K2" s="39" t="s">
        <v>6</v>
      </c>
      <c r="L2" s="40"/>
      <c r="M2" s="12"/>
      <c r="N2" s="39" t="s">
        <v>45</v>
      </c>
      <c r="O2" s="40"/>
      <c r="P2" s="12"/>
      <c r="Q2" s="44" t="s">
        <v>62</v>
      </c>
      <c r="R2" s="37"/>
      <c r="T2" s="44" t="s">
        <v>44</v>
      </c>
      <c r="U2" s="42"/>
      <c r="V2" s="8"/>
    </row>
    <row r="3" spans="1:22" s="1" customFormat="1" ht="15" customHeight="1" x14ac:dyDescent="0.25">
      <c r="A3" s="6"/>
      <c r="B3" s="16" t="s">
        <v>1</v>
      </c>
      <c r="C3" s="18">
        <v>10</v>
      </c>
      <c r="D3" s="12"/>
      <c r="E3" s="12" t="s">
        <v>1</v>
      </c>
      <c r="F3" s="14">
        <v>10</v>
      </c>
      <c r="G3" s="12"/>
      <c r="H3" s="12" t="s">
        <v>1</v>
      </c>
      <c r="I3" s="14">
        <v>10</v>
      </c>
      <c r="J3" s="12"/>
      <c r="K3" s="12" t="s">
        <v>1</v>
      </c>
      <c r="L3" s="14">
        <v>10</v>
      </c>
      <c r="M3" s="12"/>
      <c r="N3" s="43" t="s">
        <v>46</v>
      </c>
      <c r="O3" s="38"/>
      <c r="P3" s="12"/>
      <c r="Q3" s="21" t="s">
        <v>50</v>
      </c>
      <c r="R3" s="15">
        <v>100</v>
      </c>
      <c r="S3" s="6"/>
      <c r="T3" s="8" t="s">
        <v>84</v>
      </c>
      <c r="U3" s="33">
        <v>8000</v>
      </c>
      <c r="V3" s="9"/>
    </row>
    <row r="4" spans="1:22" ht="15" customHeight="1" x14ac:dyDescent="0.25">
      <c r="B4" s="16" t="s">
        <v>0</v>
      </c>
      <c r="C4" s="18">
        <v>0</v>
      </c>
      <c r="D4" s="12"/>
      <c r="E4" s="12" t="s">
        <v>0</v>
      </c>
      <c r="F4" s="14">
        <v>0</v>
      </c>
      <c r="G4" s="12"/>
      <c r="H4" s="12" t="s">
        <v>0</v>
      </c>
      <c r="I4" s="14">
        <v>0</v>
      </c>
      <c r="J4" s="12"/>
      <c r="K4" s="12" t="s">
        <v>0</v>
      </c>
      <c r="L4" s="14">
        <v>10</v>
      </c>
      <c r="M4" s="12"/>
      <c r="N4" s="12" t="s">
        <v>1</v>
      </c>
      <c r="O4" s="14">
        <v>10</v>
      </c>
      <c r="P4" s="12"/>
      <c r="Q4" s="21" t="s">
        <v>51</v>
      </c>
      <c r="R4" s="15">
        <v>200</v>
      </c>
      <c r="T4" s="8" t="s">
        <v>85</v>
      </c>
      <c r="U4" s="33">
        <v>2000</v>
      </c>
      <c r="V4" s="9"/>
    </row>
    <row r="5" spans="1:22" ht="15" customHeight="1" x14ac:dyDescent="0.25">
      <c r="B5" s="16" t="s">
        <v>2</v>
      </c>
      <c r="C5" s="18">
        <v>10</v>
      </c>
      <c r="D5" s="12"/>
      <c r="E5" s="12" t="s">
        <v>2</v>
      </c>
      <c r="F5" s="14">
        <v>10</v>
      </c>
      <c r="G5" s="12"/>
      <c r="H5" s="12" t="s">
        <v>2</v>
      </c>
      <c r="I5" s="14">
        <v>12</v>
      </c>
      <c r="J5" s="12"/>
      <c r="K5" s="12" t="s">
        <v>2</v>
      </c>
      <c r="L5" s="14">
        <v>10</v>
      </c>
      <c r="M5" s="12"/>
      <c r="N5" s="12" t="s">
        <v>0</v>
      </c>
      <c r="O5" s="14">
        <v>10</v>
      </c>
      <c r="P5" s="12"/>
      <c r="Q5" s="21" t="s">
        <v>52</v>
      </c>
      <c r="R5" s="15">
        <v>153.953</v>
      </c>
      <c r="T5" s="8" t="s">
        <v>86</v>
      </c>
      <c r="U5" s="33">
        <v>300</v>
      </c>
      <c r="V5" s="9"/>
    </row>
    <row r="6" spans="1:22" ht="15" customHeight="1" x14ac:dyDescent="0.25">
      <c r="B6" s="16" t="s">
        <v>3</v>
      </c>
      <c r="C6" s="18">
        <v>100</v>
      </c>
      <c r="D6" s="12"/>
      <c r="E6" s="12" t="s">
        <v>3</v>
      </c>
      <c r="F6" s="14">
        <v>100</v>
      </c>
      <c r="G6" s="12"/>
      <c r="H6" s="12" t="s">
        <v>3</v>
      </c>
      <c r="I6" s="14">
        <v>100</v>
      </c>
      <c r="J6" s="12"/>
      <c r="K6" s="12" t="s">
        <v>3</v>
      </c>
      <c r="L6" s="14">
        <v>18</v>
      </c>
      <c r="M6" s="12"/>
      <c r="N6" s="12" t="s">
        <v>2</v>
      </c>
      <c r="O6" s="14">
        <v>60</v>
      </c>
      <c r="P6" s="12"/>
      <c r="Q6" s="21" t="s">
        <v>53</v>
      </c>
      <c r="R6" s="15">
        <v>0</v>
      </c>
      <c r="T6" s="8" t="s">
        <v>87</v>
      </c>
      <c r="U6" s="33">
        <v>8447.2135954999994</v>
      </c>
      <c r="V6" s="9"/>
    </row>
    <row r="7" spans="1:22" ht="15" customHeight="1" x14ac:dyDescent="0.25">
      <c r="B7" s="12"/>
      <c r="C7" s="14"/>
      <c r="D7" s="12"/>
      <c r="E7" s="23" t="s">
        <v>57</v>
      </c>
      <c r="F7" s="14">
        <v>1</v>
      </c>
      <c r="G7" s="12"/>
      <c r="H7" s="12" t="s">
        <v>4</v>
      </c>
      <c r="I7" s="14">
        <v>11.586</v>
      </c>
      <c r="J7" s="12"/>
      <c r="K7" s="12" t="s">
        <v>7</v>
      </c>
      <c r="L7" s="14">
        <v>0</v>
      </c>
      <c r="M7" s="12"/>
      <c r="N7" s="12" t="s">
        <v>3</v>
      </c>
      <c r="O7" s="14">
        <v>60</v>
      </c>
      <c r="P7" s="12"/>
      <c r="Q7" s="21" t="s">
        <v>55</v>
      </c>
      <c r="R7" s="15">
        <v>10</v>
      </c>
      <c r="T7" s="8" t="s">
        <v>88</v>
      </c>
      <c r="U7" s="33">
        <v>2000</v>
      </c>
      <c r="V7" s="9"/>
    </row>
    <row r="8" spans="1:22" ht="15" customHeight="1" x14ac:dyDescent="0.25">
      <c r="B8" s="12" t="s">
        <v>4</v>
      </c>
      <c r="C8" s="28">
        <f>(C3+C5)/2</f>
        <v>10</v>
      </c>
      <c r="D8" s="12"/>
      <c r="E8" s="23" t="s">
        <v>58</v>
      </c>
      <c r="F8" s="14">
        <v>2</v>
      </c>
      <c r="G8" s="12"/>
      <c r="H8" s="12" t="s">
        <v>5</v>
      </c>
      <c r="I8" s="14">
        <v>2589.123</v>
      </c>
      <c r="J8" s="12"/>
      <c r="K8" s="12" t="s">
        <v>8</v>
      </c>
      <c r="L8" s="14">
        <v>20</v>
      </c>
      <c r="M8" s="12"/>
      <c r="N8" s="12" t="s">
        <v>7</v>
      </c>
      <c r="O8" s="14">
        <v>10</v>
      </c>
      <c r="P8" s="12"/>
      <c r="Q8" s="21" t="s">
        <v>54</v>
      </c>
      <c r="R8" s="15">
        <v>45</v>
      </c>
      <c r="T8" s="8" t="s">
        <v>89</v>
      </c>
      <c r="U8" s="33">
        <v>147</v>
      </c>
      <c r="V8" s="9"/>
    </row>
    <row r="9" spans="1:22" ht="15" customHeight="1" x14ac:dyDescent="0.25">
      <c r="B9" s="12" t="s">
        <v>5</v>
      </c>
      <c r="C9" s="28">
        <f>(C4+C6)/2</f>
        <v>50</v>
      </c>
      <c r="D9" s="12"/>
      <c r="E9" s="12"/>
      <c r="F9" s="14"/>
      <c r="G9" s="12"/>
      <c r="H9" s="12"/>
      <c r="I9" s="14"/>
      <c r="J9" s="12"/>
      <c r="K9" s="12" t="s">
        <v>9</v>
      </c>
      <c r="L9" s="14">
        <v>20</v>
      </c>
      <c r="M9" s="12"/>
      <c r="N9" s="12" t="s">
        <v>8</v>
      </c>
      <c r="O9" s="14">
        <v>110</v>
      </c>
      <c r="P9" s="12"/>
      <c r="Q9" s="21"/>
      <c r="R9" s="15"/>
      <c r="T9" s="8"/>
      <c r="U9" s="33"/>
      <c r="V9" s="9"/>
    </row>
    <row r="10" spans="1:22" ht="15" customHeight="1" x14ac:dyDescent="0.25">
      <c r="B10" s="12"/>
      <c r="C10" s="14"/>
      <c r="D10" s="12"/>
      <c r="E10" s="12" t="s">
        <v>4</v>
      </c>
      <c r="F10" s="28">
        <f>((F8*F3)+(F7*F5))/(F7+F8)</f>
        <v>10</v>
      </c>
      <c r="G10" s="12"/>
      <c r="H10" s="12" t="s">
        <v>42</v>
      </c>
      <c r="I10" s="56">
        <f>SQRT(((I7-I3)^2+(I8-I4)^2)-I11^2)</f>
        <v>2588.5736170377131</v>
      </c>
      <c r="J10" s="12"/>
      <c r="K10" s="12" t="s">
        <v>10</v>
      </c>
      <c r="L10" s="14">
        <v>20</v>
      </c>
      <c r="M10" s="12"/>
      <c r="N10" s="12"/>
      <c r="O10" s="14"/>
      <c r="P10" s="12"/>
      <c r="Q10" s="21" t="s">
        <v>4</v>
      </c>
      <c r="R10" s="17">
        <f>(R4*(COS(RADIANS(R8))))+R5</f>
        <v>295.37435623730948</v>
      </c>
      <c r="T10" s="8" t="s">
        <v>91</v>
      </c>
      <c r="U10" s="50">
        <v>3</v>
      </c>
      <c r="V10" s="10"/>
    </row>
    <row r="11" spans="1:22" ht="15" customHeight="1" x14ac:dyDescent="0.25">
      <c r="B11" s="12"/>
      <c r="C11" s="14"/>
      <c r="D11" s="12"/>
      <c r="E11" s="12" t="s">
        <v>5</v>
      </c>
      <c r="F11" s="28">
        <f>((F8*F4)+(F7*F6))/(F7+F8)</f>
        <v>33.333333333333336</v>
      </c>
      <c r="G11" s="12"/>
      <c r="H11" s="12" t="s">
        <v>41</v>
      </c>
      <c r="I11" s="28">
        <f>ABS((I5-I3)*I8+(I6-I4)*I7+(I5*I4-I6*I3))/SQRT((I6-I4)^2+(I5-I3)^2)</f>
        <v>53.357789509040614</v>
      </c>
      <c r="J11" s="12"/>
      <c r="K11" s="12"/>
      <c r="L11" s="14"/>
      <c r="M11" s="12"/>
      <c r="N11" s="12" t="s">
        <v>4</v>
      </c>
      <c r="O11" s="28">
        <f>(O5^2+O4^2-O9^2-O8^2-(O5-O9)*(O5^2+O4^2-O7^2-O6^2)/(O5-O7))/2/(O4-O8-(O5-O9)*(O4-O6)/(O5-O7))</f>
        <v>10</v>
      </c>
      <c r="P11" s="12"/>
      <c r="Q11" s="21" t="s">
        <v>5</v>
      </c>
      <c r="R11" s="17">
        <f>(R3*(SIN(RADIANS(R8))))+R6</f>
        <v>70.710678118654741</v>
      </c>
      <c r="V11" s="9"/>
    </row>
    <row r="12" spans="1:22" ht="15" customHeight="1" x14ac:dyDescent="0.25">
      <c r="B12" s="12"/>
      <c r="C12" s="14"/>
      <c r="D12" s="12"/>
      <c r="E12" s="12"/>
      <c r="F12" s="14"/>
      <c r="G12" s="12"/>
      <c r="H12" s="6" t="s">
        <v>105</v>
      </c>
      <c r="I12" s="60" t="str">
        <f>IF(((I7-I3)*(I6-I4)-(I8-I4)*(I5-I3))&gt;0,"*LEFT*",IF(((I7-I3)*(I6-I4)-(I8-I4)*(I5-I3))&lt;0,"*RIGHT*","*ONLINE*"))</f>
        <v>*RIGHT*</v>
      </c>
      <c r="J12" s="12"/>
      <c r="K12" s="12" t="s">
        <v>4</v>
      </c>
      <c r="L12" s="28">
        <f>((L3*L6-L4*L5)*(L7-L9)-(L3-L5)*(L7*L10-L8*L9))/((L3-L5)*(L8-L10)-(L4-L6)*(L7-L9))</f>
        <v>10</v>
      </c>
      <c r="M12" s="12"/>
      <c r="N12" s="12" t="s">
        <v>5</v>
      </c>
      <c r="O12" s="28">
        <f>(O5^2+O4^2-O7^2-O6^2-2*O11*(O4-O6))/(O5-O7)/2</f>
        <v>60</v>
      </c>
      <c r="P12" s="12"/>
      <c r="Q12" s="21" t="s">
        <v>48</v>
      </c>
      <c r="R12" s="17">
        <f>DEGREES(ATAN((COS(RADIANS(R7)))*(TAN(RADIANS(R8)))))</f>
        <v>44.561451413257693</v>
      </c>
      <c r="T12" s="9" t="s">
        <v>83</v>
      </c>
      <c r="U12" s="17">
        <f>ROUND(SQRT((U6-U3)^2+(U7-U4)^2), U10)</f>
        <v>447.214</v>
      </c>
      <c r="V12" s="9"/>
    </row>
    <row r="13" spans="1:22" ht="15" customHeight="1" x14ac:dyDescent="0.25">
      <c r="B13" s="13"/>
      <c r="C13" s="14"/>
      <c r="D13" s="12"/>
      <c r="E13" s="12"/>
      <c r="F13" s="14"/>
      <c r="G13" s="12"/>
      <c r="H13" s="12"/>
      <c r="I13" s="14"/>
      <c r="J13" s="12"/>
      <c r="K13" s="12" t="s">
        <v>5</v>
      </c>
      <c r="L13" s="28">
        <f>((L3*L6-L4*L5)*(L8-L10)-(L4-L6)*(L7*L10-L8*L9))/((L3-L5)*(L8-L10)-(L4-L6)*(L7-L9))</f>
        <v>20</v>
      </c>
      <c r="M13" s="12"/>
      <c r="N13" s="12" t="s">
        <v>11</v>
      </c>
      <c r="O13" s="28">
        <f>SQRT(((O6-O4)^2+(O7-O5)^2)*((O6-O8)^2+(O7-O9)^2)*((O8-O4)^2+(O9-O5)^2))/(2*((O4*O7)+(O6*O9)+(O8*O5)-(O4*O9)-(O6*O5)-(O8*O7)))</f>
        <v>50</v>
      </c>
      <c r="P13" s="12"/>
      <c r="Q13" s="21" t="s">
        <v>49</v>
      </c>
      <c r="R13" s="22">
        <f>10000*(TRUNC(R12))+100*(TRUNC(MOD(R12,SIGN(R12))*60))+(MOD(R12,SIGN(R12))-TRUNC(MOD(R12,SIGN(R12))*60)/60)*3600</f>
        <v>443341.22508772771</v>
      </c>
      <c r="T13" s="8"/>
      <c r="U13" s="18"/>
      <c r="V13" s="9"/>
    </row>
    <row r="14" spans="1:22" ht="15" customHeight="1" thickBot="1" x14ac:dyDescent="0.3">
      <c r="B14" s="13"/>
      <c r="C14" s="14"/>
      <c r="D14" s="12"/>
      <c r="E14" s="12"/>
      <c r="F14" s="14"/>
      <c r="G14" s="12"/>
      <c r="H14" s="13"/>
      <c r="I14" s="29"/>
      <c r="J14" s="13"/>
      <c r="K14" s="12"/>
      <c r="L14" s="14"/>
      <c r="M14" s="12"/>
      <c r="N14" s="13"/>
      <c r="O14" s="29"/>
      <c r="P14" s="13"/>
      <c r="Q14" s="21" t="s">
        <v>47</v>
      </c>
      <c r="R14" s="17">
        <f>SQRT((1/(((COS(RADIANS(R8)))/R3)^2+((SIN(RADIANS(R8)))/R4)^2)))</f>
        <v>126.49110640673517</v>
      </c>
      <c r="T14" s="65" t="str">
        <f>IF(U12=(U5-U8)," *ONE TANGENT*",IF(U12&lt;(U5+U8),"*TWO TANGENTS*",IF(U12=(U5+U8),"*THREE TANGENTS*",IF(U12&gt;(U5+U8),"*FOUR TANGENTS*","**NO SOLUTION**"))))</f>
        <v>*FOUR TANGENTS*</v>
      </c>
      <c r="U14" s="65"/>
      <c r="V14" s="9"/>
    </row>
    <row r="15" spans="1:22" ht="15" customHeight="1" x14ac:dyDescent="0.25">
      <c r="P15" s="12"/>
      <c r="T15" s="61" t="str">
        <f>IF(U12=U5-U8,"ONE TANGENT","EXTERNAL INTERSECTION POINT")</f>
        <v>EXTERNAL INTERSECTION POINT</v>
      </c>
      <c r="U15" s="61"/>
      <c r="V15" s="9"/>
    </row>
    <row r="16" spans="1:22" ht="15" customHeight="1" x14ac:dyDescent="0.25">
      <c r="B16" s="39" t="s">
        <v>34</v>
      </c>
      <c r="C16" s="40"/>
      <c r="D16" s="12"/>
      <c r="E16" s="39" t="s">
        <v>37</v>
      </c>
      <c r="F16" s="40"/>
      <c r="G16" s="12"/>
      <c r="H16" s="39" t="s">
        <v>104</v>
      </c>
      <c r="I16" s="40"/>
      <c r="J16" s="12"/>
      <c r="K16" s="39" t="s">
        <v>32</v>
      </c>
      <c r="L16" s="40"/>
      <c r="M16" s="12"/>
      <c r="N16" s="36" t="s">
        <v>12</v>
      </c>
      <c r="O16" s="38"/>
      <c r="P16" s="12"/>
      <c r="Q16" s="36" t="s">
        <v>59</v>
      </c>
      <c r="R16" s="57"/>
      <c r="S16" s="8"/>
      <c r="T16" s="53" t="s">
        <v>27</v>
      </c>
      <c r="U16" s="17">
        <f>ROUND((U5*U6-U8*U3)/(U5-U8),U10)</f>
        <v>8876.8889999999992</v>
      </c>
      <c r="V16" s="9"/>
    </row>
    <row r="17" spans="1:22" ht="15" customHeight="1" x14ac:dyDescent="0.25">
      <c r="B17" s="39" t="s">
        <v>35</v>
      </c>
      <c r="C17" s="40"/>
      <c r="D17" s="12"/>
      <c r="E17" s="39" t="s">
        <v>38</v>
      </c>
      <c r="F17" s="40"/>
      <c r="G17" s="12"/>
      <c r="H17" s="39" t="s">
        <v>40</v>
      </c>
      <c r="I17" s="40"/>
      <c r="J17" s="12"/>
      <c r="K17" s="12" t="s">
        <v>21</v>
      </c>
      <c r="L17" s="14">
        <v>0</v>
      </c>
      <c r="M17" s="12"/>
      <c r="N17" s="12" t="s">
        <v>1</v>
      </c>
      <c r="O17" s="14">
        <v>-10</v>
      </c>
      <c r="P17" s="12"/>
      <c r="Q17" s="36" t="s">
        <v>61</v>
      </c>
      <c r="R17" s="38"/>
      <c r="S17" s="8"/>
      <c r="T17" s="53" t="s">
        <v>28</v>
      </c>
      <c r="U17" s="17">
        <f>ROUND((U5*U7-U8*U4)/(U5-U8),U10)</f>
        <v>2000</v>
      </c>
      <c r="V17" s="9"/>
    </row>
    <row r="18" spans="1:22" ht="15" customHeight="1" x14ac:dyDescent="0.25">
      <c r="A18" s="6"/>
      <c r="B18" s="39" t="s">
        <v>36</v>
      </c>
      <c r="C18" s="40"/>
      <c r="D18" s="12"/>
      <c r="E18" s="39" t="s">
        <v>39</v>
      </c>
      <c r="F18" s="40"/>
      <c r="G18" s="12"/>
      <c r="H18" s="39" t="s">
        <v>24</v>
      </c>
      <c r="I18" s="40"/>
      <c r="J18" s="12"/>
      <c r="K18" s="12" t="s">
        <v>33</v>
      </c>
      <c r="L18" s="14">
        <v>0</v>
      </c>
      <c r="M18" s="12"/>
      <c r="N18" s="12" t="s">
        <v>0</v>
      </c>
      <c r="O18" s="14">
        <v>25</v>
      </c>
      <c r="P18" s="12"/>
      <c r="Q18" s="54" t="s">
        <v>1</v>
      </c>
      <c r="R18" s="15">
        <v>10</v>
      </c>
      <c r="S18" s="8"/>
      <c r="T18" s="62" t="s">
        <v>25</v>
      </c>
      <c r="U18" s="62"/>
      <c r="V18" s="9"/>
    </row>
    <row r="19" spans="1:22" ht="15" customHeight="1" x14ac:dyDescent="0.25">
      <c r="A19" s="6"/>
      <c r="B19" s="12" t="s">
        <v>1</v>
      </c>
      <c r="C19" s="14">
        <v>10</v>
      </c>
      <c r="D19" s="12"/>
      <c r="E19" s="12" t="s">
        <v>17</v>
      </c>
      <c r="F19" s="14">
        <v>5</v>
      </c>
      <c r="G19" s="12"/>
      <c r="H19" s="12" t="s">
        <v>21</v>
      </c>
      <c r="I19" s="14">
        <v>10</v>
      </c>
      <c r="J19" s="12"/>
      <c r="K19" s="12" t="s">
        <v>19</v>
      </c>
      <c r="L19" s="14">
        <v>5</v>
      </c>
      <c r="M19" s="12"/>
      <c r="N19" s="12" t="s">
        <v>2</v>
      </c>
      <c r="O19" s="14">
        <v>10</v>
      </c>
      <c r="P19" s="12"/>
      <c r="Q19" s="54" t="s">
        <v>0</v>
      </c>
      <c r="R19" s="15">
        <v>10</v>
      </c>
      <c r="S19" s="8"/>
      <c r="T19" s="51" t="s">
        <v>67</v>
      </c>
      <c r="U19" s="17">
        <f>ROUND((((U5^2*(U16-U3)-U5*(U17-U4)*(SQRT((U16-U3)^2+(U17-U4)^2-U5^2)))/((U16-U3)^2+(U17-U4)^2))+U3),U10)</f>
        <v>8102.6360000000004</v>
      </c>
      <c r="V19" s="9"/>
    </row>
    <row r="20" spans="1:22" ht="15" customHeight="1" x14ac:dyDescent="0.25">
      <c r="A20" s="6"/>
      <c r="B20" s="12" t="s">
        <v>0</v>
      </c>
      <c r="C20" s="14">
        <v>10</v>
      </c>
      <c r="D20" s="12"/>
      <c r="E20" s="12" t="s">
        <v>18</v>
      </c>
      <c r="F20" s="14">
        <v>5</v>
      </c>
      <c r="G20" s="12"/>
      <c r="H20" s="12" t="s">
        <v>33</v>
      </c>
      <c r="I20" s="14">
        <v>10</v>
      </c>
      <c r="J20" s="12"/>
      <c r="K20" s="12" t="s">
        <v>22</v>
      </c>
      <c r="L20" s="14">
        <v>10</v>
      </c>
      <c r="M20" s="12"/>
      <c r="N20" s="12" t="s">
        <v>3</v>
      </c>
      <c r="O20" s="14">
        <v>25</v>
      </c>
      <c r="P20" s="12"/>
      <c r="Q20" s="54" t="s">
        <v>19</v>
      </c>
      <c r="R20" s="15">
        <v>5</v>
      </c>
      <c r="S20" s="11"/>
      <c r="T20" s="51" t="s">
        <v>68</v>
      </c>
      <c r="U20" s="17">
        <f>ROUND((((U5^2*(U17-U4)+U5*(U16-U3)*(SQRT((U16-U3)^2+(U17-U4)^2-U5^2)))/((U16-U3)^2+(U17-U4)^2))+U4),U10)</f>
        <v>2281.8969999999999</v>
      </c>
      <c r="V20" s="9"/>
    </row>
    <row r="21" spans="1:22" ht="15" customHeight="1" x14ac:dyDescent="0.25">
      <c r="A21" s="6"/>
      <c r="B21" s="12" t="s">
        <v>17</v>
      </c>
      <c r="C21" s="14">
        <v>5</v>
      </c>
      <c r="D21" s="12"/>
      <c r="E21" s="12" t="s">
        <v>1</v>
      </c>
      <c r="F21" s="14">
        <v>8</v>
      </c>
      <c r="G21" s="12"/>
      <c r="H21" s="12" t="s">
        <v>19</v>
      </c>
      <c r="I21" s="14">
        <v>5</v>
      </c>
      <c r="J21" s="12"/>
      <c r="K21" s="12" t="s">
        <v>23</v>
      </c>
      <c r="L21" s="14">
        <v>0</v>
      </c>
      <c r="N21" s="12" t="s">
        <v>17</v>
      </c>
      <c r="O21" s="14">
        <v>10</v>
      </c>
      <c r="P21" s="12"/>
      <c r="Q21" s="51" t="s">
        <v>2</v>
      </c>
      <c r="R21" s="15">
        <v>15</v>
      </c>
      <c r="S21" s="11"/>
      <c r="T21" s="51" t="s">
        <v>71</v>
      </c>
      <c r="U21" s="17">
        <f>ROUND((((U8^2*(U16-U6)-U8*(U17-U7)*(SQRT((U16-U6)^2+(U17-U7)^2-U8^2)))/((U16-U6)^2+(U17-U7)^2))+U6),U10)</f>
        <v>8497.5049999999992</v>
      </c>
      <c r="V21" s="32"/>
    </row>
    <row r="22" spans="1:22" ht="15" customHeight="1" x14ac:dyDescent="0.25">
      <c r="A22" s="6"/>
      <c r="B22" s="12" t="s">
        <v>18</v>
      </c>
      <c r="C22" s="14">
        <v>10</v>
      </c>
      <c r="D22" s="12"/>
      <c r="E22" s="12" t="s">
        <v>0</v>
      </c>
      <c r="F22" s="14">
        <v>10</v>
      </c>
      <c r="G22" s="12"/>
      <c r="H22" s="12" t="s">
        <v>22</v>
      </c>
      <c r="I22" s="14">
        <v>10</v>
      </c>
      <c r="J22" s="12"/>
      <c r="K22" s="12" t="s">
        <v>20</v>
      </c>
      <c r="L22" s="14">
        <v>15</v>
      </c>
      <c r="N22" s="12" t="s">
        <v>18</v>
      </c>
      <c r="O22" s="14">
        <v>0</v>
      </c>
      <c r="P22" s="12"/>
      <c r="Q22" s="51" t="s">
        <v>3</v>
      </c>
      <c r="R22" s="15">
        <v>12</v>
      </c>
      <c r="S22" s="11"/>
      <c r="T22" s="51" t="s">
        <v>72</v>
      </c>
      <c r="U22" s="17">
        <f>ROUND((((U8^2*(U17-U7)+U8*(U16-U6)*(SQRT((U16-U6)^2+(U17-U7)^2-U8^2)))/((U16-U6)^2+(U17-U7)^2))+U7),U10)</f>
        <v>2138.13</v>
      </c>
      <c r="V22" s="32"/>
    </row>
    <row r="23" spans="1:22" ht="15" customHeight="1" x14ac:dyDescent="0.25">
      <c r="A23" s="6"/>
      <c r="B23" s="12" t="s">
        <v>11</v>
      </c>
      <c r="C23" s="14">
        <v>5</v>
      </c>
      <c r="D23" s="12"/>
      <c r="E23" s="12" t="s">
        <v>2</v>
      </c>
      <c r="F23" s="14">
        <v>0</v>
      </c>
      <c r="G23" s="12"/>
      <c r="H23" s="12" t="s">
        <v>23</v>
      </c>
      <c r="I23" s="14">
        <v>20</v>
      </c>
      <c r="J23" s="12"/>
      <c r="K23" s="12"/>
      <c r="L23" s="14"/>
      <c r="N23" s="12" t="s">
        <v>11</v>
      </c>
      <c r="O23" s="14">
        <v>25</v>
      </c>
      <c r="P23" s="12"/>
      <c r="Q23" s="51" t="s">
        <v>20</v>
      </c>
      <c r="R23" s="15">
        <v>2</v>
      </c>
      <c r="S23" s="8"/>
      <c r="T23" s="53" t="s">
        <v>69</v>
      </c>
      <c r="U23" s="17">
        <f>ROUND((((U5^2*(U16-U3)+U5*(U17-U4)*(SQRT((U16-U3)^2+(U17-U4)^2-U5^2)))/((U16-U3)^2+(U17-U4)^2))+U3),U10)</f>
        <v>8102.6360000000004</v>
      </c>
      <c r="V23" s="8"/>
    </row>
    <row r="24" spans="1:22" ht="15.75" thickBot="1" x14ac:dyDescent="0.3">
      <c r="A24" s="6"/>
      <c r="B24" s="12"/>
      <c r="C24" s="14"/>
      <c r="D24" s="12"/>
      <c r="E24" s="12" t="s">
        <v>3</v>
      </c>
      <c r="F24" s="14">
        <v>8</v>
      </c>
      <c r="G24" s="12"/>
      <c r="H24" s="12" t="s">
        <v>20</v>
      </c>
      <c r="I24" s="14">
        <v>1</v>
      </c>
      <c r="J24" s="12"/>
      <c r="K24" s="71" t="str">
        <f>IF((SQRT((L20-L17)^2+(L21-L18)^2))&gt;(L22+L19),"*NO INTERSECTION*",IF((SQRT((L20-L17)^2+(L21-L18)^2))=(L22+L19),"*EXTERNALLY TANGENT*",IF((SQRT((L20-L17)^2+(L21-L18)^2))=(L22-L19),"*INTERNALLY TANGENT*",IF((SQRT((L20-L17)^2+(L21-L18)^2)+MIN(L22,L19))&lt;(MAX(L22,L19)),"*ONE CIRCLE INTERNAL*","*INTERSECTION POINTS*"))))</f>
        <v>*INTERNALLY TANGENT*</v>
      </c>
      <c r="L24" s="71"/>
      <c r="M24" s="12"/>
      <c r="N24" s="12"/>
      <c r="O24" s="14"/>
      <c r="P24" s="19"/>
      <c r="Q24" s="53" t="s">
        <v>7</v>
      </c>
      <c r="R24" s="15">
        <v>15</v>
      </c>
      <c r="S24" s="8"/>
      <c r="T24" s="53" t="s">
        <v>70</v>
      </c>
      <c r="U24" s="17">
        <f>ROUND((((U5^2*(U17-U4)-U5*(U16-U3)*(SQRT((U16-U3)^2+(U17-U4)^2-U5^2)))/((U16-U3)^2+(U17-U4)^2))+U4),U10)</f>
        <v>1718.1030000000001</v>
      </c>
      <c r="V24" s="8"/>
    </row>
    <row r="25" spans="1:22" ht="15.75" thickBot="1" x14ac:dyDescent="0.3">
      <c r="A25" s="6"/>
      <c r="B25" s="71" t="str">
        <f>IF(SQRT((C21-C19)^2+(C22-C20)^2)&lt;C23,"*POINT INTERNAL TO CIRCLE*",IF(SQRT((C21-C19)^2+(C22-C20)^2)=C23,"*POINT TANGENT TO CIRCLE*","*REAL TANGENTS*"))</f>
        <v>*POINT TANGENT TO CIRCLE*</v>
      </c>
      <c r="C25" s="71"/>
      <c r="D25" s="12"/>
      <c r="E25" s="12"/>
      <c r="F25" s="14"/>
      <c r="G25" s="12"/>
      <c r="H25" s="12"/>
      <c r="I25" s="14"/>
      <c r="J25" s="12"/>
      <c r="K25" s="12" t="s">
        <v>13</v>
      </c>
      <c r="L25" s="28">
        <f>(((L19^2-L22^2+(SQRT((L20-L17)^2+(L21-L18)^2))^2)/(2*(SQRT((L20-L17)^2+(L21-L18)^2))))/(SQRT((L20-L17)^2+(L21-L18)^2)))*(L20-L17)-((SQRT(L19^2-((L19^2-L22^2+(SQRT((L20-L17)^2+(L21-L18)^2))^2)/(2*(SQRT((L20-L17)^2+(L21-L18)^2))))^2))/(SQRT((L20-L17)^2+(L21-L18)^2)))*(L21-L18)+L17</f>
        <v>-5</v>
      </c>
      <c r="M25" s="12"/>
      <c r="N25" s="64" t="str">
        <f>IF(((O19-O17)*O22+(O20-O18)*O21+(O19*O18-O20*O17))/(SQRT((O20-O18)^2+(O19-O17)^2))&gt;O23,"*NO INTERSECTION*",IF(((O19-O17)*O22+(O20-O18)*O21+(O19*O18-O20*O17))/(SQRT((O20-O18)^2+(O19-O17)^2))=O23,"*LINE AND CIRCLE TANGENT*","*REAL INTERSECTION*"))</f>
        <v>*LINE AND CIRCLE TANGENT*</v>
      </c>
      <c r="O25" s="64"/>
      <c r="P25" s="19"/>
      <c r="Q25" s="53" t="s">
        <v>8</v>
      </c>
      <c r="R25" s="15">
        <v>5</v>
      </c>
      <c r="S25" s="8"/>
      <c r="T25" s="53" t="s">
        <v>73</v>
      </c>
      <c r="U25" s="17">
        <f>ROUND((((U8^2*(U16-U6)+U8*(U17-U7)*(SQRT((U16-U6)^2+(U17-U7)^2-U8^2)))/((U16-U6)^2+(U17-U7)^2))+U6),U10)</f>
        <v>8497.5049999999992</v>
      </c>
      <c r="V25" s="8"/>
    </row>
    <row r="26" spans="1:22" ht="15.75" thickBot="1" x14ac:dyDescent="0.3">
      <c r="A26" s="6"/>
      <c r="B26" s="12" t="s">
        <v>13</v>
      </c>
      <c r="C26" s="28">
        <f>((C23^2*(C19-C21)+C23*(C20-C22)*(SQRT((C19-C21)^2+(C20-C22)^2-C23^2)))/((C19-C21)^2+(C20-C22)^2))+C21</f>
        <v>10</v>
      </c>
      <c r="D26" s="12"/>
      <c r="E26" s="71" t="str">
        <f>IF(SQRT((F21-F19)^2+(F22-F20)^2)=(SQRT((F23-F19)^2+(F24-F20)^2)),"*TANGENT POINTS VALID*","*TANGENT POINTS INVALID*")</f>
        <v>*TANGENT POINTS VALID*</v>
      </c>
      <c r="F26" s="71"/>
      <c r="G26" s="12"/>
      <c r="H26" s="71" t="str">
        <f>IF((SQRT((I22-I19)^2+(I23-I20)^2))&lt;(I24+I21),"*IMAGINARY INTERSECTION*",IF((SQRT((I22-I19)^2+(I23-I20)^2))=(I24+I21),"*CIRCLES EXTERNALLY TANGENT*","*INTERSECTION POINT*"))</f>
        <v>*INTERSECTION POINT*</v>
      </c>
      <c r="I26" s="71"/>
      <c r="J26" s="12"/>
      <c r="K26" s="12" t="s">
        <v>14</v>
      </c>
      <c r="L26" s="28">
        <f>(((L19^2-L22^2+(SQRT((L20-L17)^2+(L21-L18)^2))^2)/(2*(SQRT((L20-L17)^2+(L21-L18)^2))))/(SQRT((L20-L17)^2+(L21-L18)^2)))*(L21-L18)+((SQRT(L19^2-((L19^2-L22^2+(SQRT((L20-L17)^2+(L21-L18)^2))^2)/(2*(SQRT((L20-L17)^2+(L21-L18)^2))))^2))/(SQRT((L20-L17)^2+(L21-L18)^2)))*(L20-L17)+L18</f>
        <v>0</v>
      </c>
      <c r="M26" s="12"/>
      <c r="N26" s="16" t="s">
        <v>13</v>
      </c>
      <c r="O26" s="17">
        <f>O17+((O21-O17)*((O19-O17)/(SQRT((O19-O17)^2+(O20-O18)^2)))+(O22-O18)*((O20-O18)/(SQRT((O19-O17)^2+(O20-O18)^2)))+(SQRT(O$23^2-((O21-O17)*((O20-O18)/(SQRT((O19-O17)^2+(O20-O18)^2)))-(O22-O18)*((O19-O17)/(SQRT((O19-O17)^2+(O20-O18)^2))))^2)))*((O19-O17)/(SQRT((O19-O17)^2+(O20-O18)^2)))</f>
        <v>10</v>
      </c>
      <c r="P26" s="19"/>
      <c r="Q26" s="53" t="s">
        <v>60</v>
      </c>
      <c r="R26" s="15">
        <v>5</v>
      </c>
      <c r="S26" s="8"/>
      <c r="T26" s="53" t="s">
        <v>74</v>
      </c>
      <c r="U26" s="17">
        <f>ROUND((((U8^2*(U17-U7)-U8*(U16-U6)*(SQRT((U16-U6)^2+(U17-U7)^2-U8^2)))/((U16-U6)^2+(U17-U7)^2))+U7),U10)</f>
        <v>1861.87</v>
      </c>
      <c r="V26" s="8"/>
    </row>
    <row r="27" spans="1:22" ht="15.75" thickBot="1" x14ac:dyDescent="0.3">
      <c r="B27" s="12" t="s">
        <v>14</v>
      </c>
      <c r="C27" s="28">
        <f>((C23^2*(C20-C22)-C23*(C19-C21)*(SQRT((C19-C21)^2+(C20-C22)^2-C23^2)))/((C19-C21)^2+(C20-C22)^2))+C22</f>
        <v>10</v>
      </c>
      <c r="D27" s="12"/>
      <c r="E27" s="12" t="s">
        <v>4</v>
      </c>
      <c r="F27" s="28">
        <f>((F24-F22+F21*((F19-F21)/(F22-F20))-F23*((F19-F23)/(F24-F20)))/(((F19-F21)/(F22-F20))-((F19-F23)/(F24-F20))))</f>
        <v>3</v>
      </c>
      <c r="G27" s="12"/>
      <c r="H27" s="12" t="s">
        <v>4</v>
      </c>
      <c r="I27" s="28">
        <f>(I22*I24-I19*I21)/(I24-I21)</f>
        <v>10</v>
      </c>
      <c r="J27" s="12"/>
      <c r="K27" s="12"/>
      <c r="L27" s="14"/>
      <c r="M27" s="12"/>
      <c r="N27" s="16" t="s">
        <v>14</v>
      </c>
      <c r="O27" s="17">
        <f>O18+((O21-O17)*((O19-O17)/(SQRT((O19-O17)^2+(O20-O18)^2)))+(O22-O18)*((O20-O18)/(SQRT((O19-O17)^2+(O20-O18)^2)))+(SQRT(O$23^2-((O21-O17)*((O20-O18)/(SQRT((O19-O17)^2+(O20-O18)^2)))-(O22-O18)*((O19-O17)/(SQRT((O19-O17)^2+(O20-O18)^2))))^2)))*((O20-O18)/(SQRT((O19-O17)^2+(O20-O18)^2)))</f>
        <v>25</v>
      </c>
      <c r="P27" s="19"/>
      <c r="Q27" s="8"/>
      <c r="R27" s="15"/>
      <c r="T27" s="72" t="str">
        <f>IF(U12=U5+U8,"THIRD TANGENT POINT","INTERNAL INTERSECTION POINT")</f>
        <v>INTERNAL INTERSECTION POINT</v>
      </c>
      <c r="U27" s="72"/>
      <c r="V27" s="8"/>
    </row>
    <row r="28" spans="1:22" x14ac:dyDescent="0.25">
      <c r="B28" s="12"/>
      <c r="C28" s="14"/>
      <c r="D28" s="12"/>
      <c r="E28" s="12" t="s">
        <v>5</v>
      </c>
      <c r="F28" s="28">
        <f>((F19-F21)/(F22-F20))*F27+F22-((F19-F21)/(F22-F20))*F21</f>
        <v>13</v>
      </c>
      <c r="G28" s="12"/>
      <c r="H28" s="12" t="s">
        <v>5</v>
      </c>
      <c r="I28" s="28">
        <f>(I23*I24-I20*I21)/(I24-I21)</f>
        <v>7.5</v>
      </c>
      <c r="J28" s="12"/>
      <c r="K28" s="12" t="s">
        <v>15</v>
      </c>
      <c r="L28" s="28">
        <f>(((L19^2-L22^2+(SQRT((L20-L17)^2+(L21-L18)^2))^2)/(2*(SQRT((L20-L17)^2+(L21-L18)^2))))/(SQRT((L20-L17)^2+(L21-L18)^2)))*(L20-L17)+((SQRT(L19^2-((L19^2-L22^2+(SQRT((L20-L17)^2+(L21-L18)^2))^2)/(2*(SQRT((L20-L17)^2+(L21-L18)^2))))^2))/(SQRT((L20-L17)^2+(L21-L18)^2)))*(L21-L18)+L17</f>
        <v>-5</v>
      </c>
      <c r="M28" s="12"/>
      <c r="N28" s="16"/>
      <c r="O28" s="18"/>
      <c r="P28" s="24"/>
      <c r="Q28" s="8"/>
      <c r="R28" s="18"/>
      <c r="T28" s="52" t="s">
        <v>29</v>
      </c>
      <c r="U28" s="17">
        <f>ROUND((U5*U6+U8*U3)/(U5+U8),U10)</f>
        <v>8300.143</v>
      </c>
      <c r="V28" s="8"/>
    </row>
    <row r="29" spans="1:22" ht="15.75" thickBot="1" x14ac:dyDescent="0.3">
      <c r="B29" s="12" t="s">
        <v>15</v>
      </c>
      <c r="C29" s="28">
        <f>((C23^2*(C19-C21)-C23*(C20-C22)*(SQRT((C19-C21)^2+(C20-C22)^2-C23^2)))/((C19-C21)^2+(C20-C22)^2))+C21</f>
        <v>10</v>
      </c>
      <c r="D29" s="12"/>
      <c r="E29" s="12"/>
      <c r="F29" s="14"/>
      <c r="G29" s="12"/>
      <c r="H29" s="12"/>
      <c r="I29" s="14"/>
      <c r="J29" s="12"/>
      <c r="K29" s="12" t="s">
        <v>16</v>
      </c>
      <c r="L29" s="28">
        <f>(((L19^2-L22^2+(SQRT((L20-L17)^2+(L21-L18)^2))^2)/(2*(SQRT((L20-L17)^2+(L21-L18)^2))))/(SQRT((L20-L17)^2+(L21-L18)^2)))*(L21-L18)-((SQRT(L19^2-((L19^2-L22^2+(SQRT((L20-L17)^2+(L21-L18)^2))^2)/(2*(SQRT((L20-L17)^2+(L21-L18)^2))))^2))/(SQRT((L20-L17)^2+(L21-L18)^2)))*(L20-L17)+L18</f>
        <v>0</v>
      </c>
      <c r="M29" s="13"/>
      <c r="N29" s="16" t="s">
        <v>15</v>
      </c>
      <c r="O29" s="17">
        <f>O17+((O21-O17)*((O19-O17)/(SQRT((O19-O17)^2+(O20-O18)^2)))+(O22-O18)*((O20-O18)/(SQRT((O19-O17)^2+(O20-O18)^2)))-(SQRT(O$23^2-((O21-O17)*((O20-O18)/(SQRT((O19-O17)^2+(O20-O18)^2)))-(O22-O18)*((O19-O17)/(SQRT((O19-O17)^2+(O20-O18)^2))))^2)))*((O19-O17)/(SQRT((O19-O17)^2+(O20-O18)^2)))</f>
        <v>10</v>
      </c>
      <c r="P29" s="19"/>
      <c r="Q29" s="71" t="str">
        <f>IF(R20=(SQRT((R30-R18)^2+(R31-R19)^2)),"*TRUE INTERSECTION*", IF(R23=(SQRT((R30-R21)^2+(R31-R22)^2)),"*TRUE INTERSECTION*", IF(R26=(SQRT((R30-R24)^2+(R31-R25)^2)),"*TRUE INTERSECTION*","*IMAGINARY INTERSECTION*")))</f>
        <v>*TRUE INTERSECTION*</v>
      </c>
      <c r="R29" s="71"/>
      <c r="T29" s="52" t="s">
        <v>30</v>
      </c>
      <c r="U29" s="17">
        <f>ROUND((U5*U7+U8*U4)/(U5+U8),U10)</f>
        <v>2000</v>
      </c>
      <c r="V29" s="32"/>
    </row>
    <row r="30" spans="1:22" x14ac:dyDescent="0.25">
      <c r="B30" s="12" t="s">
        <v>16</v>
      </c>
      <c r="C30" s="28">
        <f>((C23^2*(C20-C22)+C23*(C19-C21)*(SQRT((C19-C21)^2+(C20-C22)^2-C23^2)))/((C19-C21)^2+(C20-C22)^2))+C22</f>
        <v>10</v>
      </c>
      <c r="D30" s="12"/>
      <c r="E30" s="12"/>
      <c r="F30" s="14"/>
      <c r="G30" s="12"/>
      <c r="H30" s="12"/>
      <c r="I30" s="14"/>
      <c r="J30" s="12"/>
      <c r="K30" s="19"/>
      <c r="L30" s="14"/>
      <c r="M30" s="12"/>
      <c r="N30" s="16" t="s">
        <v>16</v>
      </c>
      <c r="O30" s="17">
        <f>O18+((O21-O17)*((O19-O17)/(SQRT((O19-O17)^2+(O20-O18)^2)))+(O22-O18)*((O20-O18)/(SQRT((O19-O17)^2+(O20-O18)^2)))-(SQRT(O$23^2-((O21-O17)*((O20-O18)/(SQRT((O19-O17)^2+(O20-O18)^2)))-(O22-O18)*((O19-O17)/(SQRT((O19-O17)^2+(O20-O18)^2))))^2)))*((O20-O18)/(SQRT((O19-O17)^2+(O20-O18)^2)))</f>
        <v>25</v>
      </c>
      <c r="P30" s="25"/>
      <c r="Q30" s="8" t="s">
        <v>4</v>
      </c>
      <c r="R30" s="58">
        <f>-(((R22-R25)*((R22^2-R19^2)+(R21^2-R18^2)+(R20^2-R23^2))-(R19-R22)*((R25^2-R22^2)+(R24^2-R21^2)+(R23^2-R26^2))))/(2*((R18-R21)*(R22-R25)-(R21-R24)*(R19-R22)))</f>
        <v>15</v>
      </c>
      <c r="T30" s="63" t="s">
        <v>26</v>
      </c>
      <c r="U30" s="63"/>
      <c r="V30" s="32"/>
    </row>
    <row r="31" spans="1:22" x14ac:dyDescent="0.25">
      <c r="E31" s="5"/>
      <c r="F31" s="30"/>
      <c r="G31" s="5"/>
      <c r="K31" s="7"/>
      <c r="L31" s="14"/>
      <c r="P31" s="25"/>
      <c r="Q31" s="3" t="s">
        <v>5</v>
      </c>
      <c r="R31" s="59">
        <f>-((R21-R24)*((R21^2-R18^2)+(R22^2-R19^2)+(R20^2-R23^2))-(R18-R21)*((R24^2-R21^2)+(R25^2-R22^2)+(R23^2-R26^2)))/(2*((R19-R22)*(R21-R24)-(R22-R25)*(R18-R21)))</f>
        <v>10</v>
      </c>
      <c r="T31" s="54" t="s">
        <v>75</v>
      </c>
      <c r="U31" s="17">
        <f>IF(T27="THIRD TANGENT POINT","*NO SOLUTION*",ROUND((((U5^2*(U28-U3)+U5*(U29-U4)*(SQRT((U28-U3)^2+(U29-U4)^2-U5^2)))/((U28-U3)^2+(U29-U4)^2))+U3),U10))</f>
        <v>8299.857</v>
      </c>
      <c r="V31" s="8"/>
    </row>
    <row r="32" spans="1:22" x14ac:dyDescent="0.25">
      <c r="E32" s="5"/>
      <c r="F32" s="30"/>
      <c r="G32" s="5"/>
      <c r="K32" s="20"/>
      <c r="L32" s="14"/>
      <c r="P32" s="25"/>
      <c r="T32" s="54" t="s">
        <v>76</v>
      </c>
      <c r="U32" s="17">
        <f>IF(T27="THIRD TANGENT POINT","*NO SOLUTION*",ROUND((((U5^2*(U29-U4)-U5*(U28-U3)*(SQRT((U28-U3)^2+(U29-U4)^2-U5^2)))/((U28-U3)^2+(U29-U4)^2))+U4),U10))</f>
        <v>1990.74</v>
      </c>
      <c r="V32" s="8"/>
    </row>
    <row r="33" spans="1:21" x14ac:dyDescent="0.25">
      <c r="D33" s="7"/>
      <c r="E33" s="7"/>
      <c r="F33" s="31"/>
      <c r="G33" s="7"/>
      <c r="H33" s="27"/>
      <c r="I33" s="30"/>
      <c r="N33" s="68"/>
      <c r="O33" s="68"/>
      <c r="P33" s="5"/>
      <c r="T33" s="54" t="s">
        <v>79</v>
      </c>
      <c r="U33" s="17">
        <f>IF(T27="THIRD TANGENT POINT","*NO SOLUTION*",ROUND((((U8^2*(U28-U6)-U8*(U29-U7)*(SQRT((U28-U6)^2+(U29-U7)^2-U8^2)))/((U28-U6)^2+(U29-U7)^2))+U6),U10))</f>
        <v>8300.2839999999997</v>
      </c>
    </row>
    <row r="34" spans="1:21" x14ac:dyDescent="0.25">
      <c r="D34" s="7"/>
      <c r="E34" s="7"/>
      <c r="F34" s="31"/>
      <c r="G34" s="7"/>
      <c r="H34" s="30"/>
      <c r="I34" s="30"/>
      <c r="N34" s="69"/>
      <c r="O34" s="70"/>
      <c r="P34" s="5"/>
      <c r="T34" s="54" t="s">
        <v>80</v>
      </c>
      <c r="U34" s="17">
        <f>IF(T27="THIRD TANGENT POINT","*NO SOLUTION*",ROUND((((U8^2*(U29-U7)+U8*(U28-U6)*(SQRT((U28-U6)^2+(U29-U7)^2-U8^2)))/((U28-U6)^2+(U29-U7)^2))+U7),U10))</f>
        <v>1995.4459999999999</v>
      </c>
    </row>
    <row r="35" spans="1:21" x14ac:dyDescent="0.25">
      <c r="D35" s="7"/>
      <c r="E35" s="7"/>
      <c r="F35" s="31"/>
      <c r="G35" s="7"/>
      <c r="I35" s="30"/>
      <c r="N35" s="66"/>
      <c r="O35" s="67"/>
      <c r="P35" s="5"/>
      <c r="T35" s="55" t="s">
        <v>77</v>
      </c>
      <c r="U35" s="17">
        <f>IF(T27="THIRD TANGENT POINT","*NO SOLUTION*",ROUND((((U5^2*(U28-U3)-U5*(U29-U4)*(SQRT((U28-U3)^2+(U29-U4)^2-U5^2)))/((U28-U3)^2+(U29-U4)^2))+U3),U10))</f>
        <v>8299.857</v>
      </c>
    </row>
    <row r="36" spans="1:21" x14ac:dyDescent="0.25">
      <c r="D36" s="7"/>
      <c r="E36" s="7"/>
      <c r="F36" s="31" t="s">
        <v>90</v>
      </c>
      <c r="G36" s="7"/>
      <c r="H36" s="30"/>
      <c r="I36" s="30"/>
      <c r="N36" s="66"/>
      <c r="O36" s="67"/>
      <c r="P36" s="5"/>
      <c r="T36" s="55" t="s">
        <v>78</v>
      </c>
      <c r="U36" s="17">
        <f>IF(T27="THIRD TANGENT POINT","*NO SOLUTION*",ROUND((((U5^2*(U29-U4)+U5*(U28-U3)*(SQRT((U28-U3)^2+(U29-U4)^2-U5^2)))/((U28-U3)^2+(U29-U4)^2))+U4),U10))</f>
        <v>2009.26</v>
      </c>
    </row>
    <row r="37" spans="1:21" x14ac:dyDescent="0.25">
      <c r="D37" s="7"/>
      <c r="E37" s="7"/>
      <c r="F37" s="31"/>
      <c r="G37" s="7"/>
      <c r="H37" s="30"/>
      <c r="I37" s="30"/>
      <c r="N37" s="66"/>
      <c r="O37" s="67"/>
      <c r="P37" s="5"/>
      <c r="T37" s="55" t="s">
        <v>81</v>
      </c>
      <c r="U37" s="17">
        <f>IF(T27="THIRD TANGENT POINT","*NO SOLUTION*",ROUND((((U8^2*(U28-U6)+U8*(U29-U7)*(SQRT((U28-U6)^2+(U29-U7)^2-U8^2)))/((U28-U6)^2+(U29-U7)^2))+U6),U10))</f>
        <v>8300.2839999999997</v>
      </c>
    </row>
    <row r="38" spans="1:21" x14ac:dyDescent="0.25">
      <c r="D38" s="7"/>
      <c r="E38" s="7"/>
      <c r="F38" s="31"/>
      <c r="G38" s="7"/>
      <c r="H38" s="30"/>
      <c r="I38" s="30"/>
      <c r="N38" s="66"/>
      <c r="O38" s="67"/>
      <c r="P38" s="5"/>
      <c r="T38" s="55" t="s">
        <v>82</v>
      </c>
      <c r="U38" s="17">
        <f>IF(T27="THIRD TANGENT POINT","*NO SOLUTION*",ROUND((((U8^2*(U29-U7)-U8*(U28-U6)*(SQRT((U28-U6)^2+(U29-U7)^2-U8^2)))/((U28-U6)^2+(U29-U7)^2))+U7),U10))</f>
        <v>2004.5540000000001</v>
      </c>
    </row>
    <row r="39" spans="1:21" x14ac:dyDescent="0.25">
      <c r="D39" s="7"/>
      <c r="E39" s="7"/>
      <c r="F39" s="31"/>
      <c r="G39" s="7"/>
      <c r="H39" s="30"/>
      <c r="I39" s="30"/>
      <c r="N39" s="26"/>
      <c r="O39" s="14"/>
      <c r="P39" s="5"/>
    </row>
    <row r="40" spans="1:21" x14ac:dyDescent="0.25">
      <c r="D40" s="7"/>
      <c r="E40" s="7"/>
      <c r="F40" s="31"/>
      <c r="G40" s="7"/>
      <c r="H40" s="30"/>
      <c r="I40" s="30"/>
      <c r="N40" s="26"/>
      <c r="O40" s="14"/>
      <c r="P40" s="5"/>
    </row>
    <row r="41" spans="1:21" x14ac:dyDescent="0.25">
      <c r="D41" s="7"/>
      <c r="E41" s="7"/>
      <c r="F41" s="31"/>
      <c r="G41" s="7"/>
      <c r="H41" s="30"/>
      <c r="I41" s="30"/>
      <c r="N41" s="5"/>
      <c r="O41" s="30"/>
      <c r="P41" s="5"/>
    </row>
    <row r="42" spans="1:21" x14ac:dyDescent="0.25">
      <c r="D42" s="7"/>
      <c r="E42" s="7"/>
      <c r="F42" s="31"/>
      <c r="G42" s="7"/>
      <c r="H42" s="30"/>
      <c r="I42" s="30"/>
      <c r="N42" s="5"/>
      <c r="O42" s="30"/>
      <c r="P42" s="5"/>
    </row>
    <row r="43" spans="1:21" x14ac:dyDescent="0.25">
      <c r="D43" s="7"/>
      <c r="E43" s="7"/>
      <c r="F43" s="31"/>
      <c r="G43" s="7"/>
      <c r="H43" s="3"/>
      <c r="I43" s="30"/>
    </row>
    <row r="44" spans="1:21" x14ac:dyDescent="0.25">
      <c r="A44" s="5"/>
      <c r="D44" s="3"/>
    </row>
    <row r="45" spans="1:21" x14ac:dyDescent="0.25">
      <c r="A45" s="5"/>
      <c r="D45" s="3"/>
    </row>
    <row r="46" spans="1:21" x14ac:dyDescent="0.25">
      <c r="A46" s="5"/>
      <c r="D46" s="3"/>
    </row>
    <row r="47" spans="1:21" x14ac:dyDescent="0.25">
      <c r="A47" s="5"/>
      <c r="D47" s="3"/>
    </row>
    <row r="48" spans="1:21" x14ac:dyDescent="0.25">
      <c r="A48" s="5"/>
      <c r="D48" s="3"/>
    </row>
    <row r="49" spans="1:22" x14ac:dyDescent="0.25">
      <c r="A49" s="5"/>
      <c r="C49" s="30"/>
      <c r="D49" s="3"/>
    </row>
    <row r="50" spans="1:22" x14ac:dyDescent="0.25">
      <c r="A50" s="5"/>
      <c r="C50" s="30"/>
      <c r="D50" s="3"/>
    </row>
    <row r="51" spans="1:22" x14ac:dyDescent="0.25">
      <c r="A51" s="5"/>
      <c r="C51" s="30"/>
      <c r="D51" s="3"/>
      <c r="T51" s="1"/>
      <c r="U51" s="34"/>
      <c r="V51" s="1"/>
    </row>
    <row r="52" spans="1:22" x14ac:dyDescent="0.25">
      <c r="A52" s="5"/>
      <c r="C52" s="30"/>
      <c r="D52" s="3"/>
    </row>
    <row r="53" spans="1:22" x14ac:dyDescent="0.25">
      <c r="A53" s="5"/>
      <c r="C53" s="30"/>
      <c r="D53" s="3"/>
    </row>
    <row r="54" spans="1:22" x14ac:dyDescent="0.25">
      <c r="A54" s="5"/>
      <c r="C54" s="30"/>
      <c r="D54" s="3"/>
    </row>
    <row r="55" spans="1:22" x14ac:dyDescent="0.25">
      <c r="A55" s="5"/>
      <c r="C55" s="30"/>
      <c r="D55" s="3"/>
    </row>
    <row r="56" spans="1:22" x14ac:dyDescent="0.25">
      <c r="A56" s="5"/>
      <c r="B56" s="3"/>
      <c r="C56" s="30"/>
      <c r="D56" s="3"/>
    </row>
    <row r="63" spans="1:22" x14ac:dyDescent="0.25">
      <c r="T63" s="2"/>
      <c r="U63" s="35"/>
      <c r="V63" s="2"/>
    </row>
    <row r="64" spans="1:22" x14ac:dyDescent="0.25">
      <c r="T64" s="2"/>
      <c r="U64" s="35"/>
      <c r="V64" s="2"/>
    </row>
    <row r="65" spans="3:22" x14ac:dyDescent="0.25">
      <c r="T65" s="2"/>
      <c r="U65" s="35"/>
      <c r="V65" s="2"/>
    </row>
    <row r="66" spans="3:22" x14ac:dyDescent="0.25">
      <c r="T66" s="2"/>
      <c r="U66" s="35"/>
      <c r="V66" s="2"/>
    </row>
    <row r="67" spans="3:22" x14ac:dyDescent="0.25">
      <c r="T67" s="2"/>
      <c r="U67" s="35"/>
      <c r="V67" s="2"/>
    </row>
    <row r="77" spans="3:22" x14ac:dyDescent="0.25">
      <c r="C77" s="4"/>
      <c r="F77" s="31"/>
      <c r="G77" s="7"/>
      <c r="H77" s="7"/>
      <c r="I77" s="31"/>
      <c r="J77" s="7"/>
      <c r="S77"/>
    </row>
    <row r="78" spans="3:22" x14ac:dyDescent="0.25">
      <c r="C78" s="4"/>
    </row>
    <row r="79" spans="3:22" x14ac:dyDescent="0.25">
      <c r="C79" s="4"/>
    </row>
    <row r="80" spans="3:22" x14ac:dyDescent="0.25">
      <c r="C80" s="4" t="s">
        <v>101</v>
      </c>
    </row>
    <row r="81" spans="3:3" x14ac:dyDescent="0.25">
      <c r="C81" s="4" t="s">
        <v>102</v>
      </c>
    </row>
    <row r="82" spans="3:3" x14ac:dyDescent="0.25">
      <c r="C82" s="4" t="s">
        <v>63</v>
      </c>
    </row>
    <row r="83" spans="3:3" x14ac:dyDescent="0.25">
      <c r="C83" s="4" t="s">
        <v>64</v>
      </c>
    </row>
    <row r="84" spans="3:3" x14ac:dyDescent="0.25">
      <c r="C84" s="4" t="s">
        <v>65</v>
      </c>
    </row>
    <row r="85" spans="3:3" x14ac:dyDescent="0.25">
      <c r="C85" s="4" t="s">
        <v>66</v>
      </c>
    </row>
  </sheetData>
  <mergeCells count="12">
    <mergeCell ref="T14:U14"/>
    <mergeCell ref="Q29:R29"/>
    <mergeCell ref="N33:O33"/>
    <mergeCell ref="B25:C25"/>
    <mergeCell ref="T15:U15"/>
    <mergeCell ref="T18:U18"/>
    <mergeCell ref="T30:U30"/>
    <mergeCell ref="T27:U27"/>
    <mergeCell ref="K24:L24"/>
    <mergeCell ref="N25:O25"/>
    <mergeCell ref="H26:I26"/>
    <mergeCell ref="E26:F26"/>
  </mergeCells>
  <conditionalFormatting sqref="U28:U29 U16:U17 U19:U22">
    <cfRule type="containsErrors" dxfId="6" priority="17">
      <formula>ISERROR(U16)</formula>
    </cfRule>
  </conditionalFormatting>
  <conditionalFormatting sqref="U25:U26">
    <cfRule type="containsErrors" dxfId="5" priority="4">
      <formula>ISERROR(U25)</formula>
    </cfRule>
  </conditionalFormatting>
  <conditionalFormatting sqref="U31:U34">
    <cfRule type="containsErrors" dxfId="4" priority="3">
      <formula>ISERROR(U31)</formula>
    </cfRule>
  </conditionalFormatting>
  <conditionalFormatting sqref="U35:U36">
    <cfRule type="containsErrors" dxfId="3" priority="2">
      <formula>ISERROR(U35)</formula>
    </cfRule>
  </conditionalFormatting>
  <conditionalFormatting sqref="U37:U38">
    <cfRule type="containsErrors" dxfId="2" priority="1">
      <formula>ISERROR(U37)</formula>
    </cfRule>
  </conditionalFormatting>
  <conditionalFormatting sqref="U23:U24">
    <cfRule type="containsErrors" dxfId="1" priority="5">
      <formula>ISERROR(U23)</formula>
    </cfRule>
  </conditionalFormatting>
  <printOptions horizontalCentered="1" verticalCentered="1"/>
  <pageMargins left="0.2" right="0.2" top="0.5" bottom="0.5" header="0" footer="0"/>
  <pageSetup paperSize="17" scale="58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0" stopIfTrue="1" id="{1DC96D00-55C0-4329-A9A4-70C993BE1465}">
            <xm:f>'\Users\szelenak\Desktop\[3-31-15 EDIT SSZ ZENITH TRAVERSE.xls]ZEN TRAV'!#REF!&lt;&gt;""</xm:f>
            <x14:dxf>
              <font>
                <strike/>
                <condense val="0"/>
                <extend val="0"/>
                <color indexed="10"/>
              </font>
            </x14:dxf>
          </x14:cfRule>
          <xm:sqref>R13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57"/>
  <sheetViews>
    <sheetView workbookViewId="0">
      <selection activeCell="E36" sqref="E36"/>
    </sheetView>
  </sheetViews>
  <sheetFormatPr defaultRowHeight="15" x14ac:dyDescent="0.25"/>
  <sheetData>
    <row r="1" spans="1:37" x14ac:dyDescent="0.25">
      <c r="A1" t="s">
        <v>99</v>
      </c>
      <c r="H1" t="s">
        <v>100</v>
      </c>
      <c r="K1" t="s">
        <v>59</v>
      </c>
    </row>
    <row r="2" spans="1:37" x14ac:dyDescent="0.25">
      <c r="A2" s="45"/>
      <c r="B2" s="46" t="s">
        <v>92</v>
      </c>
      <c r="C2" s="47">
        <f>COGO!$U$5</f>
        <v>300</v>
      </c>
      <c r="D2" s="46" t="s">
        <v>92</v>
      </c>
      <c r="E2" s="47">
        <f>COGO!$U$8</f>
        <v>147</v>
      </c>
      <c r="F2" s="45"/>
      <c r="G2" s="45"/>
      <c r="H2" s="46" t="s">
        <v>98</v>
      </c>
      <c r="I2" s="47">
        <f>COGO!R4</f>
        <v>200</v>
      </c>
      <c r="J2" s="45"/>
      <c r="K2" s="46" t="s">
        <v>92</v>
      </c>
      <c r="L2" s="47">
        <f>COGO!R20</f>
        <v>5</v>
      </c>
      <c r="M2" s="46" t="s">
        <v>92</v>
      </c>
      <c r="N2" s="47">
        <f>COGO!R23</f>
        <v>2</v>
      </c>
      <c r="O2" s="46" t="s">
        <v>92</v>
      </c>
      <c r="P2" s="47">
        <f>COGO!R26</f>
        <v>5</v>
      </c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</row>
    <row r="3" spans="1:37" x14ac:dyDescent="0.25">
      <c r="A3" s="45"/>
      <c r="B3" s="45"/>
      <c r="C3" s="45"/>
      <c r="D3" s="45"/>
      <c r="E3" s="45"/>
      <c r="F3" s="45"/>
      <c r="G3" s="45"/>
      <c r="H3" s="46" t="s">
        <v>103</v>
      </c>
      <c r="I3" s="47">
        <f>COGO!R3</f>
        <v>100</v>
      </c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</row>
    <row r="4" spans="1:37" x14ac:dyDescent="0.25">
      <c r="A4" s="45"/>
      <c r="B4" s="48" t="s">
        <v>93</v>
      </c>
      <c r="C4" s="48" t="s">
        <v>94</v>
      </c>
      <c r="D4" s="48" t="s">
        <v>93</v>
      </c>
      <c r="E4" s="48" t="s">
        <v>94</v>
      </c>
      <c r="F4" s="45"/>
      <c r="G4" s="45"/>
      <c r="H4" s="48" t="s">
        <v>93</v>
      </c>
      <c r="I4" s="48" t="s">
        <v>94</v>
      </c>
      <c r="J4" s="45"/>
      <c r="K4" s="48" t="s">
        <v>93</v>
      </c>
      <c r="L4" s="48" t="s">
        <v>94</v>
      </c>
      <c r="M4" s="48" t="s">
        <v>93</v>
      </c>
      <c r="N4" s="48" t="s">
        <v>94</v>
      </c>
      <c r="O4" s="48" t="s">
        <v>93</v>
      </c>
      <c r="P4" s="48" t="s">
        <v>94</v>
      </c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</row>
    <row r="5" spans="1:37" x14ac:dyDescent="0.25">
      <c r="A5" s="45"/>
      <c r="B5" s="49">
        <f>COGO!$U$3</f>
        <v>8000</v>
      </c>
      <c r="C5" s="49">
        <f>COGO!$U$4</f>
        <v>2000</v>
      </c>
      <c r="D5" s="49">
        <f>COGO!$U$6</f>
        <v>8447.2135954999994</v>
      </c>
      <c r="E5" s="49">
        <f>COGO!$U$7</f>
        <v>2000</v>
      </c>
      <c r="F5" s="45"/>
      <c r="G5" s="45"/>
      <c r="H5" s="49">
        <f>COGO!R5</f>
        <v>153.953</v>
      </c>
      <c r="I5" s="49">
        <f>COGO!R6</f>
        <v>0</v>
      </c>
      <c r="J5" s="45"/>
      <c r="K5" s="49">
        <f>COGO!R18</f>
        <v>10</v>
      </c>
      <c r="L5" s="49">
        <f>COGO!R19</f>
        <v>10</v>
      </c>
      <c r="M5" s="49">
        <f>COGO!R21</f>
        <v>15</v>
      </c>
      <c r="N5" s="49">
        <f>COGO!R22</f>
        <v>12</v>
      </c>
      <c r="O5" s="49">
        <f>COGO!R24</f>
        <v>15</v>
      </c>
      <c r="P5" s="49">
        <f>COGO!R25</f>
        <v>5</v>
      </c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</row>
    <row r="6" spans="1:37" x14ac:dyDescent="0.25">
      <c r="A6" s="48" t="s">
        <v>95</v>
      </c>
      <c r="B6" s="48" t="s">
        <v>96</v>
      </c>
      <c r="C6" s="48" t="s">
        <v>97</v>
      </c>
      <c r="D6" s="48" t="s">
        <v>96</v>
      </c>
      <c r="E6" s="48" t="s">
        <v>97</v>
      </c>
      <c r="F6" s="45"/>
      <c r="G6" s="45"/>
      <c r="H6" s="48" t="s">
        <v>96</v>
      </c>
      <c r="I6" s="48" t="s">
        <v>97</v>
      </c>
      <c r="J6" s="45"/>
      <c r="K6" s="48" t="s">
        <v>96</v>
      </c>
      <c r="L6" s="48" t="s">
        <v>97</v>
      </c>
      <c r="M6" s="48" t="s">
        <v>96</v>
      </c>
      <c r="N6" s="48" t="s">
        <v>97</v>
      </c>
      <c r="O6" s="48" t="s">
        <v>96</v>
      </c>
      <c r="P6" s="48" t="s">
        <v>97</v>
      </c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</row>
    <row r="7" spans="1:37" x14ac:dyDescent="0.25">
      <c r="A7" s="49">
        <v>0</v>
      </c>
      <c r="B7" s="47">
        <f>B$5 + C$2 * COS(RADIANS($A7))</f>
        <v>8300</v>
      </c>
      <c r="C7" s="47">
        <f>C$5 + C$2 * SIN(RADIANS($A7))</f>
        <v>2000</v>
      </c>
      <c r="D7" s="47">
        <f>D$5 + E$2 * COS(RADIANS($A7))</f>
        <v>8594.2135954999994</v>
      </c>
      <c r="E7" s="47">
        <f>E$5 + E$2 * SIN(RADIANS($A7))</f>
        <v>2000</v>
      </c>
      <c r="F7" s="45">
        <f>COGO!$U$19</f>
        <v>8102.6360000000004</v>
      </c>
      <c r="G7" s="45">
        <f>COGO!$U$20</f>
        <v>2281.8969999999999</v>
      </c>
      <c r="H7" s="47">
        <f>H$5 + I$2 * COS(RADIANS($A7))</f>
        <v>353.95299999999997</v>
      </c>
      <c r="I7" s="47">
        <f t="shared" ref="I7:I31" si="0">I$5 + I$3 * SIN(RADIANS($A7))</f>
        <v>0</v>
      </c>
      <c r="J7" s="45"/>
      <c r="K7" s="47">
        <f>K$5 + L$2 * COS(RADIANS($A7))</f>
        <v>15</v>
      </c>
      <c r="L7" s="47">
        <f>L$5 + L$2 * SIN(RADIANS($A7))</f>
        <v>10</v>
      </c>
      <c r="M7" s="47">
        <f>M$5 + N$2 * COS(RADIANS($A7))</f>
        <v>17</v>
      </c>
      <c r="N7" s="47">
        <f>N$5 + N$2 * SIN(RADIANS($A7))</f>
        <v>12</v>
      </c>
      <c r="O7" s="47">
        <f>O$5 + P$2 * COS(RADIANS($A7))</f>
        <v>20</v>
      </c>
      <c r="P7" s="47">
        <f>P$5 + P$2 * SIN(RADIANS($A7))</f>
        <v>5</v>
      </c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</row>
    <row r="8" spans="1:37" x14ac:dyDescent="0.25">
      <c r="A8" s="49">
        <v>15</v>
      </c>
      <c r="B8" s="47">
        <f t="shared" ref="B8:B31" si="1">B$5 + C$2 * COS(RADIANS($A8))</f>
        <v>8289.777747886721</v>
      </c>
      <c r="C8" s="47">
        <f t="shared" ref="C8:C31" si="2">C$5 + C$2 * SIN(RADIANS($A8))</f>
        <v>2077.6457135307564</v>
      </c>
      <c r="D8" s="47">
        <f>D$5 + E$2 * COS(RADIANS($A8))</f>
        <v>8589.2046919644927</v>
      </c>
      <c r="E8" s="47">
        <f t="shared" ref="E8:E31" si="3">E$5 + E$2 * SIN(RADIANS($A8))</f>
        <v>2038.0463996300705</v>
      </c>
      <c r="F8" s="45">
        <f>COGO!$U$21</f>
        <v>8497.5049999999992</v>
      </c>
      <c r="G8" s="45">
        <f>COGO!$U$22</f>
        <v>2138.13</v>
      </c>
      <c r="H8" s="47">
        <f>H$5 + I$2 * COS(RADIANS($A8))</f>
        <v>347.13816525781363</v>
      </c>
      <c r="I8" s="47">
        <f t="shared" si="0"/>
        <v>25.881904510252074</v>
      </c>
      <c r="J8" s="45"/>
      <c r="K8" s="47">
        <f>K$5 + L$2 * COS(RADIANS($A8))</f>
        <v>14.829629131445341</v>
      </c>
      <c r="L8" s="47">
        <f t="shared" ref="L8:L31" si="4">L$5 + L$2 * SIN(RADIANS($A8))</f>
        <v>11.294095225512603</v>
      </c>
      <c r="M8" s="47">
        <f>M$5 + N$2 * COS(RADIANS($A8))</f>
        <v>16.931851652578136</v>
      </c>
      <c r="N8" s="47">
        <f t="shared" ref="N8:N31" si="5">N$5 + N$2 * SIN(RADIANS($A8))</f>
        <v>12.517638090205041</v>
      </c>
      <c r="O8" s="47">
        <f>O$5 + P$2 * COS(RADIANS($A8))</f>
        <v>19.829629131445341</v>
      </c>
      <c r="P8" s="47">
        <f t="shared" ref="P8:P31" si="6">P$5 + P$2 * SIN(RADIANS($A8))</f>
        <v>6.2940952255126037</v>
      </c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</row>
    <row r="9" spans="1:37" x14ac:dyDescent="0.25">
      <c r="A9" s="49">
        <v>30</v>
      </c>
      <c r="B9" s="47">
        <f t="shared" si="1"/>
        <v>8259.8076211353309</v>
      </c>
      <c r="C9" s="47">
        <f t="shared" si="2"/>
        <v>2150</v>
      </c>
      <c r="D9" s="47">
        <f t="shared" ref="D9:D31" si="7">D$5 + E$2 * COS(RADIANS($A9))</f>
        <v>8574.5193298563117</v>
      </c>
      <c r="E9" s="47">
        <f t="shared" si="3"/>
        <v>2073.5</v>
      </c>
      <c r="F9" s="45">
        <f>COGO!$U$23</f>
        <v>8102.6360000000004</v>
      </c>
      <c r="G9" s="45">
        <f>COGO!$U$24</f>
        <v>1718.1030000000001</v>
      </c>
      <c r="H9" s="47">
        <f t="shared" ref="H9:H31" si="8">H$5 + I$2 * COS(RADIANS($A9))</f>
        <v>327.15808075688778</v>
      </c>
      <c r="I9" s="47">
        <f t="shared" si="0"/>
        <v>49.999999999999993</v>
      </c>
      <c r="J9" s="45"/>
      <c r="K9" s="47">
        <f t="shared" ref="K9:K31" si="9">K$5 + L$2 * COS(RADIANS($A9))</f>
        <v>14.330127018922195</v>
      </c>
      <c r="L9" s="47">
        <f t="shared" si="4"/>
        <v>12.5</v>
      </c>
      <c r="M9" s="47">
        <f t="shared" ref="M9:M31" si="10">M$5 + N$2 * COS(RADIANS($A9))</f>
        <v>16.732050807568879</v>
      </c>
      <c r="N9" s="47">
        <f t="shared" si="5"/>
        <v>13</v>
      </c>
      <c r="O9" s="47">
        <f t="shared" ref="O9:O31" si="11">O$5 + P$2 * COS(RADIANS($A9))</f>
        <v>19.330127018922195</v>
      </c>
      <c r="P9" s="47">
        <f t="shared" si="6"/>
        <v>7.5</v>
      </c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</row>
    <row r="10" spans="1:37" x14ac:dyDescent="0.25">
      <c r="A10" s="49">
        <v>45</v>
      </c>
      <c r="B10" s="47">
        <f t="shared" si="1"/>
        <v>8212.1320343559637</v>
      </c>
      <c r="C10" s="47">
        <f t="shared" si="2"/>
        <v>2212.1320343559642</v>
      </c>
      <c r="D10" s="47">
        <f t="shared" si="7"/>
        <v>8551.1582923344213</v>
      </c>
      <c r="E10" s="47">
        <f t="shared" si="3"/>
        <v>2103.9446968344223</v>
      </c>
      <c r="F10" s="45">
        <f>COGO!$U$25</f>
        <v>8497.5049999999992</v>
      </c>
      <c r="G10" s="45">
        <f>COGO!$U$26</f>
        <v>1861.87</v>
      </c>
      <c r="H10" s="47">
        <f t="shared" si="8"/>
        <v>295.37435623730948</v>
      </c>
      <c r="I10" s="47">
        <f t="shared" si="0"/>
        <v>70.710678118654741</v>
      </c>
      <c r="J10" s="45"/>
      <c r="K10" s="47">
        <f t="shared" si="9"/>
        <v>13.535533905932738</v>
      </c>
      <c r="L10" s="47">
        <f t="shared" si="4"/>
        <v>13.535533905932738</v>
      </c>
      <c r="M10" s="47">
        <f t="shared" si="10"/>
        <v>16.414213562373096</v>
      </c>
      <c r="N10" s="47">
        <f t="shared" si="5"/>
        <v>13.414213562373096</v>
      </c>
      <c r="O10" s="47">
        <f t="shared" si="11"/>
        <v>18.535533905932738</v>
      </c>
      <c r="P10" s="47">
        <f t="shared" si="6"/>
        <v>8.5355339059327378</v>
      </c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</row>
    <row r="11" spans="1:37" x14ac:dyDescent="0.25">
      <c r="A11" s="49">
        <v>60</v>
      </c>
      <c r="B11" s="47">
        <f t="shared" si="1"/>
        <v>8150</v>
      </c>
      <c r="C11" s="47">
        <f t="shared" si="2"/>
        <v>2259.8076211353318</v>
      </c>
      <c r="D11" s="47">
        <f t="shared" si="7"/>
        <v>8520.7135954999994</v>
      </c>
      <c r="E11" s="47">
        <f t="shared" si="3"/>
        <v>2127.3057343563123</v>
      </c>
      <c r="F11" s="45"/>
      <c r="G11" s="45"/>
      <c r="H11" s="47">
        <f t="shared" si="8"/>
        <v>253.95300000000003</v>
      </c>
      <c r="I11" s="47">
        <f t="shared" si="0"/>
        <v>86.602540378443862</v>
      </c>
      <c r="J11" s="45"/>
      <c r="K11" s="47">
        <f t="shared" si="9"/>
        <v>12.5</v>
      </c>
      <c r="L11" s="47">
        <f t="shared" si="4"/>
        <v>14.330127018922193</v>
      </c>
      <c r="M11" s="47">
        <f t="shared" si="10"/>
        <v>16</v>
      </c>
      <c r="N11" s="47">
        <f t="shared" si="5"/>
        <v>13.732050807568877</v>
      </c>
      <c r="O11" s="47">
        <f t="shared" si="11"/>
        <v>17.5</v>
      </c>
      <c r="P11" s="47">
        <f t="shared" si="6"/>
        <v>9.3301270189221928</v>
      </c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</row>
    <row r="12" spans="1:37" x14ac:dyDescent="0.25">
      <c r="A12" s="49">
        <v>75</v>
      </c>
      <c r="B12" s="47">
        <f t="shared" si="1"/>
        <v>8077.6457135307564</v>
      </c>
      <c r="C12" s="47">
        <f t="shared" si="2"/>
        <v>2289.7777478867206</v>
      </c>
      <c r="D12" s="47">
        <f t="shared" si="7"/>
        <v>8485.2599951300708</v>
      </c>
      <c r="E12" s="47">
        <f t="shared" si="3"/>
        <v>2141.9910964644932</v>
      </c>
      <c r="F12" s="45">
        <f>COGO!$U$31</f>
        <v>8299.857</v>
      </c>
      <c r="G12" s="45">
        <f>COGO!$U$32</f>
        <v>1990.74</v>
      </c>
      <c r="H12" s="47">
        <f t="shared" si="8"/>
        <v>205.71680902050414</v>
      </c>
      <c r="I12" s="47">
        <f t="shared" si="0"/>
        <v>96.592582628906825</v>
      </c>
      <c r="J12" s="45"/>
      <c r="K12" s="47">
        <f t="shared" si="9"/>
        <v>11.294095225512603</v>
      </c>
      <c r="L12" s="47">
        <f t="shared" si="4"/>
        <v>14.829629131445341</v>
      </c>
      <c r="M12" s="47">
        <f t="shared" si="10"/>
        <v>15.517638090205041</v>
      </c>
      <c r="N12" s="47">
        <f t="shared" si="5"/>
        <v>13.931851652578137</v>
      </c>
      <c r="O12" s="47">
        <f t="shared" si="11"/>
        <v>16.294095225512603</v>
      </c>
      <c r="P12" s="47">
        <f t="shared" si="6"/>
        <v>9.8296291314453406</v>
      </c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</row>
    <row r="13" spans="1:37" x14ac:dyDescent="0.25">
      <c r="A13" s="49">
        <v>90</v>
      </c>
      <c r="B13" s="47">
        <f t="shared" si="1"/>
        <v>8000</v>
      </c>
      <c r="C13" s="47">
        <f t="shared" si="2"/>
        <v>2300</v>
      </c>
      <c r="D13" s="47">
        <f t="shared" si="7"/>
        <v>8447.2135954999994</v>
      </c>
      <c r="E13" s="47">
        <f t="shared" si="3"/>
        <v>2147</v>
      </c>
      <c r="F13" s="45">
        <f>COGO!$U$37</f>
        <v>8300.2839999999997</v>
      </c>
      <c r="G13" s="45">
        <f>COGO!$U$38</f>
        <v>2004.5540000000001</v>
      </c>
      <c r="H13" s="47">
        <f t="shared" si="8"/>
        <v>153.953</v>
      </c>
      <c r="I13" s="47">
        <f t="shared" si="0"/>
        <v>100</v>
      </c>
      <c r="J13" s="45"/>
      <c r="K13" s="47">
        <f t="shared" si="9"/>
        <v>10</v>
      </c>
      <c r="L13" s="47">
        <f t="shared" si="4"/>
        <v>15</v>
      </c>
      <c r="M13" s="47">
        <f t="shared" si="10"/>
        <v>15</v>
      </c>
      <c r="N13" s="47">
        <f t="shared" si="5"/>
        <v>14</v>
      </c>
      <c r="O13" s="47">
        <f t="shared" si="11"/>
        <v>15</v>
      </c>
      <c r="P13" s="47">
        <f t="shared" si="6"/>
        <v>10</v>
      </c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</row>
    <row r="14" spans="1:37" x14ac:dyDescent="0.25">
      <c r="A14" s="49">
        <v>105</v>
      </c>
      <c r="B14" s="47">
        <f t="shared" si="1"/>
        <v>7922.3542864692436</v>
      </c>
      <c r="C14" s="47">
        <f t="shared" si="2"/>
        <v>2289.7777478867206</v>
      </c>
      <c r="D14" s="47">
        <f t="shared" si="7"/>
        <v>8409.167195869928</v>
      </c>
      <c r="E14" s="47">
        <f t="shared" si="3"/>
        <v>2141.9910964644932</v>
      </c>
      <c r="F14" s="45">
        <f>COGO!$U$35</f>
        <v>8299.857</v>
      </c>
      <c r="G14" s="45">
        <f>COGO!$U$36</f>
        <v>2009.26</v>
      </c>
      <c r="H14" s="47">
        <f t="shared" si="8"/>
        <v>102.18919097949583</v>
      </c>
      <c r="I14" s="47">
        <f t="shared" si="0"/>
        <v>96.592582628906825</v>
      </c>
      <c r="J14" s="45"/>
      <c r="K14" s="47">
        <f t="shared" si="9"/>
        <v>8.7059047744873954</v>
      </c>
      <c r="L14" s="47">
        <f t="shared" si="4"/>
        <v>14.829629131445341</v>
      </c>
      <c r="M14" s="47">
        <f t="shared" si="10"/>
        <v>14.482361909794959</v>
      </c>
      <c r="N14" s="47">
        <f t="shared" si="5"/>
        <v>13.931851652578137</v>
      </c>
      <c r="O14" s="47">
        <f t="shared" si="11"/>
        <v>13.705904774487395</v>
      </c>
      <c r="P14" s="47">
        <f t="shared" si="6"/>
        <v>9.8296291314453406</v>
      </c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</row>
    <row r="15" spans="1:37" x14ac:dyDescent="0.25">
      <c r="A15" s="49">
        <v>120</v>
      </c>
      <c r="B15" s="47">
        <f t="shared" si="1"/>
        <v>7850</v>
      </c>
      <c r="C15" s="47">
        <f t="shared" si="2"/>
        <v>2259.8076211353318</v>
      </c>
      <c r="D15" s="47">
        <f t="shared" si="7"/>
        <v>8373.7135954999994</v>
      </c>
      <c r="E15" s="47">
        <f t="shared" si="3"/>
        <v>2127.3057343563123</v>
      </c>
      <c r="F15" s="45">
        <f>COGO!$U$33</f>
        <v>8300.2839999999997</v>
      </c>
      <c r="G15" s="45">
        <f>COGO!$U$34</f>
        <v>1995.4459999999999</v>
      </c>
      <c r="H15" s="47">
        <f t="shared" si="8"/>
        <v>53.953000000000046</v>
      </c>
      <c r="I15" s="47">
        <f t="shared" si="0"/>
        <v>86.602540378443877</v>
      </c>
      <c r="J15" s="45"/>
      <c r="K15" s="47">
        <f t="shared" si="9"/>
        <v>7.5000000000000009</v>
      </c>
      <c r="L15" s="47">
        <f t="shared" si="4"/>
        <v>14.330127018922195</v>
      </c>
      <c r="M15" s="47">
        <f t="shared" si="10"/>
        <v>14</v>
      </c>
      <c r="N15" s="47">
        <f t="shared" si="5"/>
        <v>13.732050807568877</v>
      </c>
      <c r="O15" s="47">
        <f t="shared" si="11"/>
        <v>12.5</v>
      </c>
      <c r="P15" s="47">
        <f t="shared" si="6"/>
        <v>9.3301270189221945</v>
      </c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</row>
    <row r="16" spans="1:37" x14ac:dyDescent="0.25">
      <c r="A16" s="49">
        <v>135</v>
      </c>
      <c r="B16" s="47">
        <f t="shared" si="1"/>
        <v>7787.8679656440354</v>
      </c>
      <c r="C16" s="47">
        <f t="shared" si="2"/>
        <v>2212.1320343559642</v>
      </c>
      <c r="D16" s="47">
        <f t="shared" si="7"/>
        <v>8343.2688986655776</v>
      </c>
      <c r="E16" s="47">
        <f t="shared" si="3"/>
        <v>2103.9446968344223</v>
      </c>
      <c r="F16" s="45"/>
      <c r="G16" s="45"/>
      <c r="H16" s="47">
        <f t="shared" si="8"/>
        <v>12.531643762690521</v>
      </c>
      <c r="I16" s="47">
        <f t="shared" si="0"/>
        <v>70.710678118654755</v>
      </c>
      <c r="J16" s="45"/>
      <c r="K16" s="47">
        <f t="shared" si="9"/>
        <v>6.4644660940672622</v>
      </c>
      <c r="L16" s="47">
        <f t="shared" si="4"/>
        <v>13.535533905932738</v>
      </c>
      <c r="M16" s="47">
        <f t="shared" si="10"/>
        <v>13.585786437626904</v>
      </c>
      <c r="N16" s="47">
        <f t="shared" si="5"/>
        <v>13.414213562373096</v>
      </c>
      <c r="O16" s="47">
        <f t="shared" si="11"/>
        <v>11.464466094067262</v>
      </c>
      <c r="P16" s="47">
        <f t="shared" si="6"/>
        <v>8.5355339059327378</v>
      </c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</row>
    <row r="17" spans="1:37" x14ac:dyDescent="0.25">
      <c r="A17" s="49">
        <v>150</v>
      </c>
      <c r="B17" s="47">
        <f t="shared" si="1"/>
        <v>7740.1923788646682</v>
      </c>
      <c r="C17" s="47">
        <f t="shared" si="2"/>
        <v>2150</v>
      </c>
      <c r="D17" s="47">
        <f t="shared" si="7"/>
        <v>8319.9078611436871</v>
      </c>
      <c r="E17" s="47">
        <f t="shared" si="3"/>
        <v>2073.5</v>
      </c>
      <c r="F17" s="45">
        <f>COGO!U25</f>
        <v>8497.5049999999992</v>
      </c>
      <c r="G17" s="45">
        <f>COGO!U26</f>
        <v>1861.87</v>
      </c>
      <c r="H17" s="47">
        <f t="shared" si="8"/>
        <v>-19.25208075688775</v>
      </c>
      <c r="I17" s="47">
        <f t="shared" si="0"/>
        <v>49.999999999999993</v>
      </c>
      <c r="J17" s="45"/>
      <c r="K17" s="47">
        <f t="shared" si="9"/>
        <v>5.6698729810778064</v>
      </c>
      <c r="L17" s="47">
        <f t="shared" si="4"/>
        <v>12.5</v>
      </c>
      <c r="M17" s="47">
        <f t="shared" si="10"/>
        <v>13.267949192431123</v>
      </c>
      <c r="N17" s="47">
        <f t="shared" si="5"/>
        <v>13</v>
      </c>
      <c r="O17" s="47">
        <f t="shared" si="11"/>
        <v>10.669872981077805</v>
      </c>
      <c r="P17" s="47">
        <f t="shared" si="6"/>
        <v>7.5</v>
      </c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</row>
    <row r="18" spans="1:37" x14ac:dyDescent="0.25">
      <c r="A18" s="49">
        <v>165</v>
      </c>
      <c r="B18" s="47">
        <f t="shared" si="1"/>
        <v>7710.2222521132799</v>
      </c>
      <c r="C18" s="47">
        <f t="shared" si="2"/>
        <v>2077.6457135307564</v>
      </c>
      <c r="D18" s="47">
        <f t="shared" si="7"/>
        <v>8305.2224990355062</v>
      </c>
      <c r="E18" s="47">
        <f t="shared" si="3"/>
        <v>2038.0463996300705</v>
      </c>
      <c r="F18" s="45">
        <f>COGO!U16</f>
        <v>8876.8889999999992</v>
      </c>
      <c r="G18" s="45">
        <f>COGO!U17</f>
        <v>2000</v>
      </c>
      <c r="H18" s="47">
        <f t="shared" si="8"/>
        <v>-39.232165257813648</v>
      </c>
      <c r="I18" s="47">
        <f t="shared" si="0"/>
        <v>25.881904510252102</v>
      </c>
      <c r="J18" s="45"/>
      <c r="K18" s="47">
        <f t="shared" si="9"/>
        <v>5.1703708685546594</v>
      </c>
      <c r="L18" s="47">
        <f t="shared" si="4"/>
        <v>11.294095225512605</v>
      </c>
      <c r="M18" s="47">
        <f t="shared" si="10"/>
        <v>13.068148347421864</v>
      </c>
      <c r="N18" s="47">
        <f t="shared" si="5"/>
        <v>12.517638090205041</v>
      </c>
      <c r="O18" s="47">
        <f t="shared" si="11"/>
        <v>10.170370868554659</v>
      </c>
      <c r="P18" s="47">
        <f t="shared" si="6"/>
        <v>6.2940952255126046</v>
      </c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</row>
    <row r="19" spans="1:37" x14ac:dyDescent="0.25">
      <c r="A19" s="49">
        <v>180</v>
      </c>
      <c r="B19" s="47">
        <f t="shared" si="1"/>
        <v>7700</v>
      </c>
      <c r="C19" s="47">
        <f t="shared" si="2"/>
        <v>2000</v>
      </c>
      <c r="D19" s="47">
        <f t="shared" si="7"/>
        <v>8300.2135954999994</v>
      </c>
      <c r="E19" s="47">
        <f t="shared" si="3"/>
        <v>2000</v>
      </c>
      <c r="F19" s="45">
        <f>COGO!U21</f>
        <v>8497.5049999999992</v>
      </c>
      <c r="G19" s="45">
        <f>COGO!U22</f>
        <v>2138.13</v>
      </c>
      <c r="H19" s="47">
        <f t="shared" si="8"/>
        <v>-46.046999999999997</v>
      </c>
      <c r="I19" s="47">
        <f t="shared" si="0"/>
        <v>1.22514845490862E-14</v>
      </c>
      <c r="J19" s="45"/>
      <c r="K19" s="47">
        <f t="shared" si="9"/>
        <v>5</v>
      </c>
      <c r="L19" s="47">
        <f t="shared" si="4"/>
        <v>10</v>
      </c>
      <c r="M19" s="47">
        <f t="shared" si="10"/>
        <v>13</v>
      </c>
      <c r="N19" s="47">
        <f t="shared" si="5"/>
        <v>12</v>
      </c>
      <c r="O19" s="47">
        <f t="shared" si="11"/>
        <v>10</v>
      </c>
      <c r="P19" s="47">
        <f t="shared" si="6"/>
        <v>5.0000000000000009</v>
      </c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</row>
    <row r="20" spans="1:37" x14ac:dyDescent="0.25">
      <c r="A20" s="49">
        <v>195</v>
      </c>
      <c r="B20" s="47">
        <f t="shared" si="1"/>
        <v>7710.2222521132799</v>
      </c>
      <c r="C20" s="47">
        <f t="shared" si="2"/>
        <v>1922.3542864692438</v>
      </c>
      <c r="D20" s="47">
        <f t="shared" si="7"/>
        <v>8305.2224990355062</v>
      </c>
      <c r="E20" s="47">
        <f t="shared" si="3"/>
        <v>1961.9536003699295</v>
      </c>
      <c r="F20" s="45"/>
      <c r="G20" s="45"/>
      <c r="H20" s="47">
        <f t="shared" si="8"/>
        <v>-39.232165257813648</v>
      </c>
      <c r="I20" s="47">
        <f t="shared" si="0"/>
        <v>-25.881904510252081</v>
      </c>
      <c r="J20" s="45"/>
      <c r="K20" s="47">
        <f t="shared" si="9"/>
        <v>5.1703708685546585</v>
      </c>
      <c r="L20" s="47">
        <f t="shared" si="4"/>
        <v>8.7059047744873954</v>
      </c>
      <c r="M20" s="47">
        <f t="shared" si="10"/>
        <v>13.068148347421863</v>
      </c>
      <c r="N20" s="47">
        <f t="shared" si="5"/>
        <v>11.482361909794959</v>
      </c>
      <c r="O20" s="47">
        <f t="shared" si="11"/>
        <v>10.170370868554659</v>
      </c>
      <c r="P20" s="47">
        <f t="shared" si="6"/>
        <v>3.7059047744873963</v>
      </c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</row>
    <row r="21" spans="1:37" x14ac:dyDescent="0.25">
      <c r="A21" s="49">
        <v>210</v>
      </c>
      <c r="B21" s="47">
        <f t="shared" si="1"/>
        <v>7740.1923788646682</v>
      </c>
      <c r="C21" s="47">
        <f t="shared" si="2"/>
        <v>1850</v>
      </c>
      <c r="D21" s="47">
        <f t="shared" si="7"/>
        <v>8319.9078611436871</v>
      </c>
      <c r="E21" s="47">
        <f t="shared" si="3"/>
        <v>1926.5</v>
      </c>
      <c r="F21" s="45"/>
      <c r="G21" s="45"/>
      <c r="H21" s="47">
        <f t="shared" si="8"/>
        <v>-19.252080756887722</v>
      </c>
      <c r="I21" s="47">
        <f t="shared" si="0"/>
        <v>-50.000000000000014</v>
      </c>
      <c r="J21" s="45"/>
      <c r="K21" s="47">
        <f t="shared" si="9"/>
        <v>5.6698729810778072</v>
      </c>
      <c r="L21" s="47">
        <f t="shared" si="4"/>
        <v>7.5</v>
      </c>
      <c r="M21" s="47">
        <f t="shared" si="10"/>
        <v>13.267949192431123</v>
      </c>
      <c r="N21" s="47">
        <f t="shared" si="5"/>
        <v>11</v>
      </c>
      <c r="O21" s="47">
        <f t="shared" si="11"/>
        <v>10.669872981077807</v>
      </c>
      <c r="P21" s="47">
        <f t="shared" si="6"/>
        <v>2.4999999999999996</v>
      </c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</row>
    <row r="22" spans="1:37" x14ac:dyDescent="0.25">
      <c r="A22" s="49">
        <v>225</v>
      </c>
      <c r="B22" s="47">
        <f t="shared" si="1"/>
        <v>7787.8679656440354</v>
      </c>
      <c r="C22" s="47">
        <f t="shared" si="2"/>
        <v>1787.8679656440358</v>
      </c>
      <c r="D22" s="47">
        <f t="shared" si="7"/>
        <v>8343.2688986655776</v>
      </c>
      <c r="E22" s="47">
        <f t="shared" si="3"/>
        <v>1896.0553031655775</v>
      </c>
      <c r="F22" s="45"/>
      <c r="G22" s="45"/>
      <c r="H22" s="47">
        <f t="shared" si="8"/>
        <v>12.531643762690464</v>
      </c>
      <c r="I22" s="47">
        <f t="shared" si="0"/>
        <v>-70.710678118654741</v>
      </c>
      <c r="J22" s="45"/>
      <c r="K22" s="47">
        <f t="shared" si="9"/>
        <v>6.4644660940672614</v>
      </c>
      <c r="L22" s="47">
        <f t="shared" si="4"/>
        <v>6.4644660940672622</v>
      </c>
      <c r="M22" s="47">
        <f t="shared" si="10"/>
        <v>13.585786437626904</v>
      </c>
      <c r="N22" s="47">
        <f t="shared" si="5"/>
        <v>10.585786437626904</v>
      </c>
      <c r="O22" s="47">
        <f t="shared" si="11"/>
        <v>11.464466094067262</v>
      </c>
      <c r="P22" s="47">
        <f t="shared" si="6"/>
        <v>1.4644660940672627</v>
      </c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</row>
    <row r="23" spans="1:37" x14ac:dyDescent="0.25">
      <c r="A23" s="49">
        <v>240</v>
      </c>
      <c r="B23" s="47">
        <f t="shared" si="1"/>
        <v>7850</v>
      </c>
      <c r="C23" s="47">
        <f t="shared" si="2"/>
        <v>1740.1923788646686</v>
      </c>
      <c r="D23" s="47">
        <f t="shared" si="7"/>
        <v>8373.7135954999994</v>
      </c>
      <c r="E23" s="47">
        <f t="shared" si="3"/>
        <v>1872.6942656436875</v>
      </c>
      <c r="F23" s="45"/>
      <c r="G23" s="45"/>
      <c r="H23" s="47">
        <f t="shared" si="8"/>
        <v>53.952999999999918</v>
      </c>
      <c r="I23" s="47">
        <f t="shared" si="0"/>
        <v>-86.602540378443834</v>
      </c>
      <c r="J23" s="45"/>
      <c r="K23" s="47">
        <f t="shared" si="9"/>
        <v>7.4999999999999982</v>
      </c>
      <c r="L23" s="47">
        <f t="shared" si="4"/>
        <v>5.6698729810778081</v>
      </c>
      <c r="M23" s="47">
        <f t="shared" si="10"/>
        <v>14</v>
      </c>
      <c r="N23" s="47">
        <f t="shared" si="5"/>
        <v>10.267949192431123</v>
      </c>
      <c r="O23" s="47">
        <f t="shared" si="11"/>
        <v>12.499999999999998</v>
      </c>
      <c r="P23" s="47">
        <f t="shared" si="6"/>
        <v>0.66987298107780813</v>
      </c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</row>
    <row r="24" spans="1:37" x14ac:dyDescent="0.25">
      <c r="A24" s="49">
        <v>255</v>
      </c>
      <c r="B24" s="47">
        <f t="shared" si="1"/>
        <v>7922.3542864692436</v>
      </c>
      <c r="C24" s="47">
        <f t="shared" si="2"/>
        <v>1710.2222521132794</v>
      </c>
      <c r="D24" s="47">
        <f t="shared" si="7"/>
        <v>8409.167195869928</v>
      </c>
      <c r="E24" s="47">
        <f t="shared" si="3"/>
        <v>1858.008903535507</v>
      </c>
      <c r="F24" s="45"/>
      <c r="G24" s="45"/>
      <c r="H24" s="47">
        <f t="shared" si="8"/>
        <v>102.18919097949588</v>
      </c>
      <c r="I24" s="47">
        <f t="shared" si="0"/>
        <v>-96.592582628906825</v>
      </c>
      <c r="J24" s="45"/>
      <c r="K24" s="47">
        <f t="shared" si="9"/>
        <v>8.7059047744873972</v>
      </c>
      <c r="L24" s="47">
        <f t="shared" si="4"/>
        <v>5.1703708685546585</v>
      </c>
      <c r="M24" s="47">
        <f t="shared" si="10"/>
        <v>14.482361909794959</v>
      </c>
      <c r="N24" s="47">
        <f t="shared" si="5"/>
        <v>10.068148347421863</v>
      </c>
      <c r="O24" s="47">
        <f t="shared" si="11"/>
        <v>13.705904774487397</v>
      </c>
      <c r="P24" s="47">
        <f t="shared" si="6"/>
        <v>0.17037086855465855</v>
      </c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</row>
    <row r="25" spans="1:37" x14ac:dyDescent="0.25">
      <c r="A25" s="49">
        <v>270</v>
      </c>
      <c r="B25" s="47">
        <f t="shared" si="1"/>
        <v>8000</v>
      </c>
      <c r="C25" s="47">
        <f t="shared" si="2"/>
        <v>1700</v>
      </c>
      <c r="D25" s="47">
        <f t="shared" si="7"/>
        <v>8447.2135954999994</v>
      </c>
      <c r="E25" s="47">
        <f t="shared" si="3"/>
        <v>1853</v>
      </c>
      <c r="F25" s="45"/>
      <c r="G25" s="45"/>
      <c r="H25" s="47">
        <f t="shared" si="8"/>
        <v>153.95299999999997</v>
      </c>
      <c r="I25" s="47">
        <f t="shared" si="0"/>
        <v>-100</v>
      </c>
      <c r="J25" s="45"/>
      <c r="K25" s="47">
        <f t="shared" si="9"/>
        <v>9.9999999999999982</v>
      </c>
      <c r="L25" s="47">
        <f t="shared" si="4"/>
        <v>5</v>
      </c>
      <c r="M25" s="47">
        <f t="shared" si="10"/>
        <v>15</v>
      </c>
      <c r="N25" s="47">
        <f t="shared" si="5"/>
        <v>10</v>
      </c>
      <c r="O25" s="47">
        <f t="shared" si="11"/>
        <v>14.999999999999998</v>
      </c>
      <c r="P25" s="47">
        <f t="shared" si="6"/>
        <v>0</v>
      </c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</row>
    <row r="26" spans="1:37" x14ac:dyDescent="0.25">
      <c r="A26" s="49">
        <v>285</v>
      </c>
      <c r="B26" s="47">
        <f t="shared" si="1"/>
        <v>8077.6457135307564</v>
      </c>
      <c r="C26" s="47">
        <f t="shared" si="2"/>
        <v>1710.2222521132794</v>
      </c>
      <c r="D26" s="47">
        <f t="shared" si="7"/>
        <v>8485.259995130069</v>
      </c>
      <c r="E26" s="47">
        <f t="shared" si="3"/>
        <v>1858.008903535507</v>
      </c>
      <c r="F26" s="45"/>
      <c r="G26" s="45"/>
      <c r="H26" s="47">
        <f t="shared" si="8"/>
        <v>205.71680902050406</v>
      </c>
      <c r="I26" s="47">
        <f t="shared" si="0"/>
        <v>-96.59258262890684</v>
      </c>
      <c r="J26" s="45"/>
      <c r="K26" s="47">
        <f t="shared" si="9"/>
        <v>11.294095225512601</v>
      </c>
      <c r="L26" s="47">
        <f t="shared" si="4"/>
        <v>5.1703708685546577</v>
      </c>
      <c r="M26" s="47">
        <f t="shared" si="10"/>
        <v>15.51763809020504</v>
      </c>
      <c r="N26" s="47">
        <f t="shared" si="5"/>
        <v>10.068148347421863</v>
      </c>
      <c r="O26" s="47">
        <f t="shared" si="11"/>
        <v>16.294095225512603</v>
      </c>
      <c r="P26" s="47">
        <f t="shared" si="6"/>
        <v>0.17037086855465766</v>
      </c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</row>
    <row r="27" spans="1:37" x14ac:dyDescent="0.25">
      <c r="A27" s="49">
        <v>300</v>
      </c>
      <c r="B27" s="47">
        <f t="shared" si="1"/>
        <v>8150</v>
      </c>
      <c r="C27" s="47">
        <f t="shared" si="2"/>
        <v>1740.1923788646684</v>
      </c>
      <c r="D27" s="47">
        <f t="shared" si="7"/>
        <v>8520.7135954999994</v>
      </c>
      <c r="E27" s="47">
        <f t="shared" si="3"/>
        <v>1872.6942656436875</v>
      </c>
      <c r="F27" s="45"/>
      <c r="G27" s="45"/>
      <c r="H27" s="47">
        <f t="shared" si="8"/>
        <v>253.95300000000003</v>
      </c>
      <c r="I27" s="47">
        <f t="shared" si="0"/>
        <v>-86.602540378443862</v>
      </c>
      <c r="J27" s="45"/>
      <c r="K27" s="47">
        <f t="shared" si="9"/>
        <v>12.5</v>
      </c>
      <c r="L27" s="47">
        <f t="shared" si="4"/>
        <v>5.6698729810778072</v>
      </c>
      <c r="M27" s="47">
        <f t="shared" si="10"/>
        <v>16</v>
      </c>
      <c r="N27" s="47">
        <f t="shared" si="5"/>
        <v>10.267949192431123</v>
      </c>
      <c r="O27" s="47">
        <f t="shared" si="11"/>
        <v>17.5</v>
      </c>
      <c r="P27" s="47">
        <f t="shared" si="6"/>
        <v>0.66987298107780724</v>
      </c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</row>
    <row r="28" spans="1:37" x14ac:dyDescent="0.25">
      <c r="A28" s="49">
        <v>315</v>
      </c>
      <c r="B28" s="47">
        <f t="shared" si="1"/>
        <v>8212.1320343559637</v>
      </c>
      <c r="C28" s="47">
        <f t="shared" si="2"/>
        <v>1787.8679656440356</v>
      </c>
      <c r="D28" s="47">
        <f t="shared" si="7"/>
        <v>8551.1582923344213</v>
      </c>
      <c r="E28" s="47">
        <f t="shared" si="3"/>
        <v>1896.0553031655775</v>
      </c>
      <c r="F28" s="45"/>
      <c r="G28" s="45"/>
      <c r="H28" s="47">
        <f t="shared" si="8"/>
        <v>295.37435623730948</v>
      </c>
      <c r="I28" s="47">
        <f t="shared" si="0"/>
        <v>-70.710678118654769</v>
      </c>
      <c r="J28" s="45"/>
      <c r="K28" s="47">
        <f t="shared" si="9"/>
        <v>13.535533905932738</v>
      </c>
      <c r="L28" s="47">
        <f t="shared" si="4"/>
        <v>6.4644660940672614</v>
      </c>
      <c r="M28" s="47">
        <f t="shared" si="10"/>
        <v>16.414213562373096</v>
      </c>
      <c r="N28" s="47">
        <f t="shared" si="5"/>
        <v>10.585786437626904</v>
      </c>
      <c r="O28" s="47">
        <f t="shared" si="11"/>
        <v>18.535533905932738</v>
      </c>
      <c r="P28" s="47">
        <f t="shared" si="6"/>
        <v>1.4644660940672614</v>
      </c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</row>
    <row r="29" spans="1:37" x14ac:dyDescent="0.25">
      <c r="A29" s="49">
        <v>330</v>
      </c>
      <c r="B29" s="47">
        <f t="shared" si="1"/>
        <v>8259.8076211353309</v>
      </c>
      <c r="C29" s="47">
        <f t="shared" si="2"/>
        <v>1849.9999999999998</v>
      </c>
      <c r="D29" s="47">
        <f t="shared" si="7"/>
        <v>8574.5193298563117</v>
      </c>
      <c r="E29" s="47">
        <f t="shared" si="3"/>
        <v>1926.5</v>
      </c>
      <c r="F29" s="45"/>
      <c r="G29" s="45"/>
      <c r="H29" s="47">
        <f t="shared" si="8"/>
        <v>327.15808075688767</v>
      </c>
      <c r="I29" s="47">
        <f t="shared" si="0"/>
        <v>-50.000000000000043</v>
      </c>
      <c r="J29" s="45"/>
      <c r="K29" s="47">
        <f t="shared" si="9"/>
        <v>14.330127018922191</v>
      </c>
      <c r="L29" s="47">
        <f t="shared" si="4"/>
        <v>7.4999999999999982</v>
      </c>
      <c r="M29" s="47">
        <f t="shared" si="10"/>
        <v>16.732050807568875</v>
      </c>
      <c r="N29" s="47">
        <f t="shared" si="5"/>
        <v>11</v>
      </c>
      <c r="O29" s="47">
        <f t="shared" si="11"/>
        <v>19.330127018922191</v>
      </c>
      <c r="P29" s="47">
        <f t="shared" si="6"/>
        <v>2.4999999999999978</v>
      </c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</row>
    <row r="30" spans="1:37" x14ac:dyDescent="0.25">
      <c r="A30" s="49">
        <v>345</v>
      </c>
      <c r="B30" s="47">
        <f t="shared" si="1"/>
        <v>8289.777747886721</v>
      </c>
      <c r="C30" s="47">
        <f t="shared" si="2"/>
        <v>1922.3542864692438</v>
      </c>
      <c r="D30" s="47">
        <f t="shared" si="7"/>
        <v>8589.2046919644927</v>
      </c>
      <c r="E30" s="47">
        <f t="shared" si="3"/>
        <v>1961.9536003699295</v>
      </c>
      <c r="F30" s="45"/>
      <c r="G30" s="45"/>
      <c r="H30" s="47">
        <f t="shared" si="8"/>
        <v>347.13816525781363</v>
      </c>
      <c r="I30" s="47">
        <f t="shared" si="0"/>
        <v>-25.881904510252067</v>
      </c>
      <c r="J30" s="45"/>
      <c r="K30" s="47">
        <f t="shared" si="9"/>
        <v>14.829629131445341</v>
      </c>
      <c r="L30" s="47">
        <f t="shared" si="4"/>
        <v>8.7059047744873972</v>
      </c>
      <c r="M30" s="47">
        <f t="shared" si="10"/>
        <v>16.931851652578136</v>
      </c>
      <c r="N30" s="47">
        <f t="shared" si="5"/>
        <v>11.482361909794959</v>
      </c>
      <c r="O30" s="47">
        <f t="shared" si="11"/>
        <v>19.829629131445341</v>
      </c>
      <c r="P30" s="47">
        <f t="shared" si="6"/>
        <v>3.7059047744873963</v>
      </c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</row>
    <row r="31" spans="1:37" x14ac:dyDescent="0.25">
      <c r="A31" s="49">
        <v>360</v>
      </c>
      <c r="B31" s="47">
        <f t="shared" si="1"/>
        <v>8300</v>
      </c>
      <c r="C31" s="47">
        <f t="shared" si="2"/>
        <v>2000</v>
      </c>
      <c r="D31" s="47">
        <f t="shared" si="7"/>
        <v>8594.2135954999994</v>
      </c>
      <c r="E31" s="47">
        <f t="shared" si="3"/>
        <v>2000</v>
      </c>
      <c r="F31" s="45"/>
      <c r="G31" s="45"/>
      <c r="H31" s="47">
        <f t="shared" si="8"/>
        <v>353.95299999999997</v>
      </c>
      <c r="I31" s="47">
        <f t="shared" si="0"/>
        <v>-2.45029690981724E-14</v>
      </c>
      <c r="J31" s="45"/>
      <c r="K31" s="47">
        <f t="shared" si="9"/>
        <v>15</v>
      </c>
      <c r="L31" s="47">
        <f t="shared" si="4"/>
        <v>9.9999999999999982</v>
      </c>
      <c r="M31" s="47">
        <f t="shared" si="10"/>
        <v>17</v>
      </c>
      <c r="N31" s="47">
        <f t="shared" si="5"/>
        <v>12</v>
      </c>
      <c r="O31" s="47">
        <f t="shared" si="11"/>
        <v>20</v>
      </c>
      <c r="P31" s="47">
        <f t="shared" si="6"/>
        <v>4.9999999999999991</v>
      </c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</row>
    <row r="32" spans="1:37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</row>
    <row r="33" spans="1:37" x14ac:dyDescent="0.2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</row>
    <row r="34" spans="1:37" x14ac:dyDescent="0.25">
      <c r="A34" s="45"/>
      <c r="B34" s="3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</row>
    <row r="35" spans="1:37" x14ac:dyDescent="0.25">
      <c r="A35" s="45"/>
      <c r="B35" s="3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</row>
    <row r="36" spans="1:37" x14ac:dyDescent="0.25">
      <c r="A36" s="45"/>
      <c r="B36" s="3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x14ac:dyDescent="0.25">
      <c r="A37" s="45"/>
      <c r="B37" s="3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x14ac:dyDescent="0.25">
      <c r="A38" s="45"/>
      <c r="B38" s="3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x14ac:dyDescent="0.25">
      <c r="A39" s="45"/>
      <c r="B39" s="3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</row>
    <row r="40" spans="1:37" x14ac:dyDescent="0.25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</row>
    <row r="41" spans="1:37" x14ac:dyDescent="0.25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</row>
    <row r="42" spans="1:37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</row>
    <row r="43" spans="1:37" x14ac:dyDescent="0.25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</row>
    <row r="44" spans="1:37" x14ac:dyDescent="0.25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</row>
    <row r="45" spans="1:37" x14ac:dyDescent="0.25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</row>
    <row r="46" spans="1:37" x14ac:dyDescent="0.25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</row>
    <row r="47" spans="1:37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</row>
    <row r="48" spans="1:37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</row>
    <row r="49" spans="1:37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</row>
    <row r="50" spans="1:37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</row>
    <row r="51" spans="1:37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</row>
    <row r="52" spans="1:37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</row>
    <row r="53" spans="1:37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</row>
    <row r="54" spans="1:37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</row>
    <row r="55" spans="1:37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</row>
    <row r="56" spans="1:37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</row>
    <row r="57" spans="1:37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COGO</vt:lpstr>
      <vt:lpstr>Computation</vt:lpstr>
      <vt:lpstr>rad</vt:lpstr>
      <vt:lpstr>xc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SCOTT</cp:lastModifiedBy>
  <cp:lastPrinted>2017-08-27T01:14:02Z</cp:lastPrinted>
  <dcterms:created xsi:type="dcterms:W3CDTF">2014-12-02T01:14:33Z</dcterms:created>
  <dcterms:modified xsi:type="dcterms:W3CDTF">2017-09-04T17:50:50Z</dcterms:modified>
</cp:coreProperties>
</file>